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4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5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69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hris\Dropbox\Work\Papers\EspositoEA_SREAttakapasSplay\EspositoEA_SREAttakapasSplay_ESurf\Esurf03\"/>
    </mc:Choice>
  </mc:AlternateContent>
  <bookViews>
    <workbookView xWindow="0" yWindow="0" windowWidth="23040" windowHeight="9410" tabRatio="524"/>
  </bookViews>
  <sheets>
    <sheet name="Table_Sd" sheetId="20" r:id="rId1"/>
    <sheet name="Table_Si" sheetId="21" r:id="rId2"/>
    <sheet name="Table_SRE" sheetId="22" r:id="rId3"/>
    <sheet name="Si" sheetId="18" r:id="rId4"/>
    <sheet name="Sd" sheetId="1" r:id="rId5"/>
    <sheet name="Sediment Samples" sheetId="5" r:id="rId6"/>
    <sheet name="Si, Sensitivity" sheetId="19" r:id="rId7"/>
    <sheet name="Sd, Sensitivity" sheetId="23" r:id="rId8"/>
  </sheets>
  <calcPr calcId="171027"/>
</workbook>
</file>

<file path=xl/calcChain.xml><?xml version="1.0" encoding="utf-8"?>
<calcChain xmlns="http://schemas.openxmlformats.org/spreadsheetml/2006/main">
  <c r="C101" i="18" l="1"/>
  <c r="C99" i="18"/>
  <c r="K22" i="18" l="1"/>
  <c r="E19" i="18"/>
  <c r="K20" i="18"/>
  <c r="K21" i="18"/>
  <c r="K23" i="18"/>
  <c r="G8" i="20" l="1"/>
  <c r="G5" i="20"/>
  <c r="D55" i="1" l="1"/>
  <c r="D56" i="1"/>
  <c r="D57" i="1"/>
  <c r="D59" i="1"/>
  <c r="D58" i="1"/>
  <c r="D28" i="1"/>
  <c r="D26" i="1" s="1"/>
  <c r="D41" i="1"/>
  <c r="D39" i="1" s="1"/>
  <c r="C43" i="1" s="1"/>
  <c r="C28" i="1" l="1"/>
  <c r="D54" i="1"/>
  <c r="C45" i="1"/>
  <c r="C46" i="1"/>
  <c r="C41" i="1"/>
  <c r="C44" i="1"/>
  <c r="C70" i="1"/>
  <c r="D69" i="1" l="1"/>
  <c r="D70" i="1"/>
  <c r="F70" i="1"/>
  <c r="G42" i="1"/>
  <c r="C47" i="1"/>
  <c r="C30" i="1"/>
  <c r="C31" i="1"/>
  <c r="C33" i="1"/>
  <c r="C29" i="1"/>
  <c r="H5" i="20" s="1"/>
  <c r="C32" i="1"/>
  <c r="D52" i="1"/>
  <c r="C42" i="1"/>
  <c r="C104" i="18"/>
  <c r="D45" i="18" s="1"/>
  <c r="B4" i="21"/>
  <c r="C4" i="21"/>
  <c r="C5" i="21"/>
  <c r="C6" i="21"/>
  <c r="C7" i="21"/>
  <c r="C8" i="21"/>
  <c r="C9" i="21"/>
  <c r="C10" i="21"/>
  <c r="C11" i="21"/>
  <c r="B12" i="21"/>
  <c r="C12" i="21"/>
  <c r="C13" i="21"/>
  <c r="D13" i="21"/>
  <c r="E13" i="21"/>
  <c r="F13" i="21"/>
  <c r="G13" i="21"/>
  <c r="H13" i="21"/>
  <c r="C14" i="21"/>
  <c r="C15" i="21"/>
  <c r="C16" i="21"/>
  <c r="H6" i="20"/>
  <c r="H7" i="20"/>
  <c r="F8" i="20"/>
  <c r="F7" i="20"/>
  <c r="F6" i="20"/>
  <c r="F5" i="20"/>
  <c r="E8" i="20"/>
  <c r="E7" i="20"/>
  <c r="E6" i="20"/>
  <c r="E5" i="20"/>
  <c r="G7" i="20"/>
  <c r="G6" i="20"/>
  <c r="H8" i="20" l="1"/>
  <c r="G29" i="1"/>
  <c r="C34" i="1"/>
  <c r="C59" i="1"/>
  <c r="I8" i="20" s="1"/>
  <c r="C54" i="1"/>
  <c r="C55" i="1"/>
  <c r="I5" i="20" s="1"/>
  <c r="C57" i="1"/>
  <c r="I7" i="20" s="1"/>
  <c r="C56" i="1"/>
  <c r="I6" i="20" s="1"/>
  <c r="C58" i="1"/>
  <c r="D12" i="21"/>
  <c r="C75" i="18"/>
  <c r="C74" i="18"/>
  <c r="C73" i="18"/>
  <c r="C72" i="18"/>
  <c r="C71" i="18"/>
  <c r="C70" i="18"/>
  <c r="C69" i="18"/>
  <c r="C68" i="18"/>
  <c r="C67" i="18"/>
  <c r="C66" i="18"/>
  <c r="C65" i="18"/>
  <c r="C64" i="18"/>
  <c r="C63" i="18"/>
  <c r="C62" i="18"/>
  <c r="C61" i="18"/>
  <c r="C60" i="18"/>
  <c r="C59" i="18"/>
  <c r="C58" i="18"/>
  <c r="C57" i="18"/>
  <c r="C56" i="18"/>
  <c r="C55" i="18"/>
  <c r="C54" i="18"/>
  <c r="C53" i="18"/>
  <c r="C52" i="18"/>
  <c r="C51" i="18"/>
  <c r="C50" i="18"/>
  <c r="C49" i="18"/>
  <c r="C48" i="18"/>
  <c r="C47" i="18"/>
  <c r="C46" i="18"/>
  <c r="C45" i="18"/>
  <c r="C78" i="18"/>
  <c r="C106" i="18" s="1"/>
  <c r="D14" i="21" l="1"/>
  <c r="C115" i="18"/>
  <c r="G55" i="1"/>
  <c r="C60" i="1"/>
  <c r="F45" i="18"/>
  <c r="D46" i="18"/>
  <c r="F46" i="18" s="1"/>
  <c r="D47" i="18"/>
  <c r="F47" i="18" s="1"/>
  <c r="D48" i="18"/>
  <c r="F48" i="18" s="1"/>
  <c r="D49" i="18"/>
  <c r="F49" i="18" s="1"/>
  <c r="D50" i="18"/>
  <c r="F50" i="18" s="1"/>
  <c r="D51" i="18"/>
  <c r="F51" i="18" s="1"/>
  <c r="D52" i="18"/>
  <c r="F52" i="18" s="1"/>
  <c r="D53" i="18"/>
  <c r="F53" i="18" s="1"/>
  <c r="D54" i="18"/>
  <c r="F54" i="18" s="1"/>
  <c r="D55" i="18"/>
  <c r="F55" i="18" s="1"/>
  <c r="D56" i="18"/>
  <c r="F56" i="18" s="1"/>
  <c r="D57" i="18"/>
  <c r="F57" i="18" s="1"/>
  <c r="D58" i="18"/>
  <c r="F58" i="18" s="1"/>
  <c r="D59" i="18"/>
  <c r="F59" i="18" s="1"/>
  <c r="D60" i="18"/>
  <c r="F60" i="18" s="1"/>
  <c r="D61" i="18"/>
  <c r="F61" i="18" s="1"/>
  <c r="D62" i="18"/>
  <c r="F62" i="18" s="1"/>
  <c r="D63" i="18"/>
  <c r="F63" i="18" s="1"/>
  <c r="D64" i="18"/>
  <c r="F64" i="18" s="1"/>
  <c r="D65" i="18"/>
  <c r="F65" i="18" s="1"/>
  <c r="D66" i="18"/>
  <c r="F66" i="18" s="1"/>
  <c r="D67" i="18"/>
  <c r="F67" i="18" s="1"/>
  <c r="D68" i="18"/>
  <c r="F68" i="18" s="1"/>
  <c r="D69" i="18"/>
  <c r="F69" i="18" s="1"/>
  <c r="D70" i="18"/>
  <c r="F70" i="18" s="1"/>
  <c r="D71" i="18"/>
  <c r="F71" i="18" s="1"/>
  <c r="D72" i="18"/>
  <c r="F72" i="18" s="1"/>
  <c r="D73" i="18"/>
  <c r="F73" i="18" s="1"/>
  <c r="D74" i="18"/>
  <c r="F74" i="18" s="1"/>
  <c r="D75" i="18"/>
  <c r="F75" i="18" s="1"/>
  <c r="AS75" i="18" l="1"/>
  <c r="AS74" i="18"/>
  <c r="AS73" i="18"/>
  <c r="AS72" i="18"/>
  <c r="AS71" i="18"/>
  <c r="AS70" i="18"/>
  <c r="AS69" i="18"/>
  <c r="AS68" i="18"/>
  <c r="AS67" i="18"/>
  <c r="AS66" i="18"/>
  <c r="AS65" i="18"/>
  <c r="AS64" i="18"/>
  <c r="AS63" i="18"/>
  <c r="AS62" i="18"/>
  <c r="AS61" i="18"/>
  <c r="AS60" i="18"/>
  <c r="AS59" i="18"/>
  <c r="AS58" i="18"/>
  <c r="AS57" i="18"/>
  <c r="AS56" i="18"/>
  <c r="AS55" i="18"/>
  <c r="AS54" i="18"/>
  <c r="AS53" i="18"/>
  <c r="AS52" i="18"/>
  <c r="AS51" i="18"/>
  <c r="AS50" i="18"/>
  <c r="AS49" i="18"/>
  <c r="AS48" i="18"/>
  <c r="AS47" i="18"/>
  <c r="AS46" i="18"/>
  <c r="AS45" i="18"/>
  <c r="F104" i="18"/>
  <c r="G12" i="21" s="1"/>
  <c r="G96" i="18"/>
  <c r="H4" i="21" s="1"/>
  <c r="F96" i="18"/>
  <c r="G4" i="21" s="1"/>
  <c r="Z43" i="18"/>
  <c r="B43" i="18"/>
  <c r="AT48" i="18" l="1"/>
  <c r="AT51" i="18"/>
  <c r="AT72" i="18"/>
  <c r="AT67" i="18"/>
  <c r="AT55" i="18"/>
  <c r="AT59" i="18"/>
  <c r="AT63" i="18"/>
  <c r="AT69" i="18"/>
  <c r="AT46" i="18"/>
  <c r="AT75" i="18"/>
  <c r="AT66" i="18"/>
  <c r="AT58" i="18"/>
  <c r="AT50" i="18"/>
  <c r="AT45" i="18"/>
  <c r="AT71" i="18"/>
  <c r="AT62" i="18"/>
  <c r="AT54" i="18"/>
  <c r="AT74" i="18"/>
  <c r="AT70" i="18"/>
  <c r="AT65" i="18"/>
  <c r="AT61" i="18"/>
  <c r="AT57" i="18"/>
  <c r="AT53" i="18"/>
  <c r="AT49" i="18"/>
  <c r="AT73" i="18"/>
  <c r="AT68" i="18"/>
  <c r="AT64" i="18"/>
  <c r="AT60" i="18"/>
  <c r="AT56" i="18"/>
  <c r="AT52" i="18"/>
  <c r="AT47" i="18"/>
  <c r="E96" i="18"/>
  <c r="F4" i="21" s="1"/>
  <c r="D96" i="18"/>
  <c r="E4" i="21" s="1"/>
  <c r="H43" i="18"/>
  <c r="C96" i="18"/>
  <c r="D4" i="21" s="1"/>
  <c r="AV56" i="18" l="1"/>
  <c r="AV50" i="18"/>
  <c r="AV48" i="18"/>
  <c r="AV45" i="18"/>
  <c r="D104" i="18"/>
  <c r="E104" i="18"/>
  <c r="F12" i="21" s="1"/>
  <c r="G104" i="18"/>
  <c r="H12" i="21" s="1"/>
  <c r="E12" i="21" l="1"/>
  <c r="J47" i="18"/>
  <c r="J45" i="18"/>
  <c r="BL45" i="18"/>
  <c r="BL49" i="18"/>
  <c r="BL51" i="18"/>
  <c r="BL46" i="18"/>
  <c r="AB46" i="18"/>
  <c r="AD46" i="18" s="1"/>
  <c r="AB45" i="18"/>
  <c r="AV72" i="18"/>
  <c r="AV68" i="18"/>
  <c r="AV64" i="18"/>
  <c r="AV62" i="18"/>
  <c r="AV61" i="18"/>
  <c r="AV60" i="18"/>
  <c r="AV59" i="18"/>
  <c r="AV58" i="18"/>
  <c r="AV57" i="18"/>
  <c r="AV75" i="18"/>
  <c r="AV71" i="18"/>
  <c r="AV74" i="18"/>
  <c r="AV70" i="18"/>
  <c r="AV66" i="18"/>
  <c r="AV73" i="18"/>
  <c r="AV55" i="18"/>
  <c r="AV54" i="18"/>
  <c r="AV53" i="18"/>
  <c r="AV52" i="18"/>
  <c r="AV51" i="18"/>
  <c r="AV49" i="18"/>
  <c r="AV67" i="18"/>
  <c r="AV63" i="18"/>
  <c r="AV69" i="18"/>
  <c r="AV47" i="18"/>
  <c r="AV46" i="18"/>
  <c r="AV65" i="18"/>
  <c r="BN45" i="18" l="1"/>
  <c r="R45" i="18"/>
  <c r="BK75" i="18"/>
  <c r="AA75" i="18"/>
  <c r="I75" i="18"/>
  <c r="BK74" i="18"/>
  <c r="AA74" i="18"/>
  <c r="I74" i="18"/>
  <c r="BK73" i="18"/>
  <c r="AA73" i="18"/>
  <c r="I73" i="18"/>
  <c r="BK72" i="18"/>
  <c r="AA72" i="18"/>
  <c r="I72" i="18"/>
  <c r="BK71" i="18"/>
  <c r="AA71" i="18"/>
  <c r="I71" i="18"/>
  <c r="BK70" i="18"/>
  <c r="AA70" i="18"/>
  <c r="I70" i="18"/>
  <c r="BK69" i="18"/>
  <c r="AA69" i="18"/>
  <c r="I69" i="18"/>
  <c r="BK68" i="18"/>
  <c r="AA68" i="18"/>
  <c r="I68" i="18"/>
  <c r="BK67" i="18"/>
  <c r="AA67" i="18"/>
  <c r="I67" i="18"/>
  <c r="BK66" i="18"/>
  <c r="AA66" i="18"/>
  <c r="I66" i="18"/>
  <c r="BK65" i="18"/>
  <c r="AA65" i="18"/>
  <c r="I65" i="18"/>
  <c r="BK64" i="18"/>
  <c r="AA64" i="18"/>
  <c r="I64" i="18"/>
  <c r="BK63" i="18"/>
  <c r="AA63" i="18"/>
  <c r="I63" i="18"/>
  <c r="BK62" i="18"/>
  <c r="AA62" i="18"/>
  <c r="I62" i="18"/>
  <c r="BK61" i="18"/>
  <c r="AA61" i="18"/>
  <c r="I61" i="18"/>
  <c r="BK60" i="18"/>
  <c r="AA60" i="18"/>
  <c r="I60" i="18"/>
  <c r="BK59" i="18"/>
  <c r="AA59" i="18"/>
  <c r="I59" i="18"/>
  <c r="BK58" i="18"/>
  <c r="AA58" i="18"/>
  <c r="I58" i="18"/>
  <c r="BK57" i="18"/>
  <c r="AA57" i="18"/>
  <c r="I57" i="18"/>
  <c r="BK56" i="18"/>
  <c r="AA56" i="18"/>
  <c r="I56" i="18"/>
  <c r="BK55" i="18"/>
  <c r="AA55" i="18"/>
  <c r="I55" i="18"/>
  <c r="BK54" i="18"/>
  <c r="AA54" i="18"/>
  <c r="I54" i="18"/>
  <c r="BK53" i="18"/>
  <c r="AA53" i="18"/>
  <c r="I53" i="18"/>
  <c r="BK52" i="18"/>
  <c r="AA52" i="18"/>
  <c r="I52" i="18"/>
  <c r="BK51" i="18"/>
  <c r="AA51" i="18"/>
  <c r="I51" i="18"/>
  <c r="BK50" i="18"/>
  <c r="AA50" i="18"/>
  <c r="I50" i="18"/>
  <c r="BK49" i="18"/>
  <c r="AA49" i="18"/>
  <c r="I49" i="18"/>
  <c r="BK48" i="18"/>
  <c r="AA48" i="18"/>
  <c r="I48" i="18"/>
  <c r="BK47" i="18"/>
  <c r="AA47" i="18"/>
  <c r="I47" i="18"/>
  <c r="BK46" i="18"/>
  <c r="AA46" i="18"/>
  <c r="I46" i="18"/>
  <c r="BK45" i="18"/>
  <c r="AA45" i="18"/>
  <c r="I45" i="18"/>
  <c r="BL47" i="18"/>
  <c r="Z33" i="18"/>
  <c r="M33" i="18" s="1"/>
  <c r="V33" i="18"/>
  <c r="T32" i="18"/>
  <c r="Z32" i="18"/>
  <c r="V32" i="18"/>
  <c r="Z31" i="18"/>
  <c r="V31" i="18"/>
  <c r="P33" i="18" s="1"/>
  <c r="G31" i="18" l="1"/>
  <c r="G32" i="18"/>
  <c r="P32" i="18"/>
  <c r="H31" i="18"/>
  <c r="BN47" i="18"/>
  <c r="J33" i="18"/>
  <c r="K33" i="18" s="1"/>
  <c r="L33" i="18" s="1"/>
  <c r="H33" i="18"/>
  <c r="M34" i="18"/>
  <c r="D34" i="18"/>
  <c r="E34" i="18" s="1"/>
  <c r="B33" i="18"/>
  <c r="D33" i="18"/>
  <c r="E33" i="18" s="1"/>
  <c r="G33" i="18"/>
  <c r="AB48" i="18"/>
  <c r="J49" i="18"/>
  <c r="L45" i="18"/>
  <c r="J70" i="18"/>
  <c r="J48" i="18"/>
  <c r="J60" i="18"/>
  <c r="BL56" i="18"/>
  <c r="J56" i="18"/>
  <c r="J68" i="18"/>
  <c r="J46" i="18"/>
  <c r="J64" i="18"/>
  <c r="J54" i="18"/>
  <c r="BL72" i="18"/>
  <c r="BL48" i="18"/>
  <c r="J72" i="18"/>
  <c r="J62" i="18"/>
  <c r="J52" i="18"/>
  <c r="BL64" i="18"/>
  <c r="BL70" i="18"/>
  <c r="BL62" i="18"/>
  <c r="BL54" i="18"/>
  <c r="BN46" i="18"/>
  <c r="BL68" i="18"/>
  <c r="BL60" i="18"/>
  <c r="BL52" i="18"/>
  <c r="J74" i="18"/>
  <c r="J66" i="18"/>
  <c r="J58" i="18"/>
  <c r="J50" i="18"/>
  <c r="BL74" i="18"/>
  <c r="BL66" i="18"/>
  <c r="BL58" i="18"/>
  <c r="BL50" i="18"/>
  <c r="AB75" i="18"/>
  <c r="AB71" i="18"/>
  <c r="AB67" i="18"/>
  <c r="AB63" i="18"/>
  <c r="AB59" i="18"/>
  <c r="AB55" i="18"/>
  <c r="AB51" i="18"/>
  <c r="AB47" i="18"/>
  <c r="J75" i="18"/>
  <c r="J71" i="18"/>
  <c r="J67" i="18"/>
  <c r="J63" i="18"/>
  <c r="J59" i="18"/>
  <c r="J55" i="18"/>
  <c r="J51" i="18"/>
  <c r="AB74" i="18"/>
  <c r="AB70" i="18"/>
  <c r="AB66" i="18"/>
  <c r="AB62" i="18"/>
  <c r="AB58" i="18"/>
  <c r="AB54" i="18"/>
  <c r="AB50" i="18"/>
  <c r="BL73" i="18"/>
  <c r="BL69" i="18"/>
  <c r="BL65" i="18"/>
  <c r="BL61" i="18"/>
  <c r="BL57" i="18"/>
  <c r="BL53" i="18"/>
  <c r="BN49" i="18"/>
  <c r="AB73" i="18"/>
  <c r="AB69" i="18"/>
  <c r="AB65" i="18"/>
  <c r="AB61" i="18"/>
  <c r="AB57" i="18"/>
  <c r="AB53" i="18"/>
  <c r="AB49" i="18"/>
  <c r="J73" i="18"/>
  <c r="J69" i="18"/>
  <c r="J65" i="18"/>
  <c r="J61" i="18"/>
  <c r="J57" i="18"/>
  <c r="J53" i="18"/>
  <c r="AD45" i="18"/>
  <c r="AB72" i="18"/>
  <c r="AB68" i="18"/>
  <c r="AB64" i="18"/>
  <c r="AB60" i="18"/>
  <c r="AB56" i="18"/>
  <c r="AB52" i="18"/>
  <c r="BL75" i="18"/>
  <c r="BL71" i="18"/>
  <c r="BL67" i="18"/>
  <c r="BL63" i="18"/>
  <c r="BL59" i="18"/>
  <c r="BL55" i="18"/>
  <c r="BN51" i="18"/>
  <c r="X32" i="18"/>
  <c r="AA31" i="18"/>
  <c r="B31" i="18"/>
  <c r="B32" i="18"/>
  <c r="B34" i="18"/>
  <c r="AA32" i="18"/>
  <c r="G34" i="18"/>
  <c r="H34" i="18"/>
  <c r="H32" i="18"/>
  <c r="J34" i="18"/>
  <c r="K34" i="18" s="1"/>
  <c r="L34" i="18" s="1"/>
  <c r="J32" i="18"/>
  <c r="K32" i="18" s="1"/>
  <c r="L32" i="18" s="1"/>
  <c r="J31" i="18"/>
  <c r="K31" i="18" s="1"/>
  <c r="L31" i="18" s="1"/>
  <c r="AA33" i="18"/>
  <c r="X33" i="18"/>
  <c r="X31" i="18"/>
  <c r="D31" i="18"/>
  <c r="E31" i="18" s="1"/>
  <c r="F31" i="18" s="1"/>
  <c r="N45" i="18" s="1"/>
  <c r="O45" i="18" s="1"/>
  <c r="M31" i="18"/>
  <c r="D32" i="18"/>
  <c r="E32" i="18" s="1"/>
  <c r="M32" i="18"/>
  <c r="N47" i="18" l="1"/>
  <c r="BN67" i="18"/>
  <c r="BN53" i="18"/>
  <c r="BN69" i="18"/>
  <c r="BN74" i="18"/>
  <c r="BN64" i="18"/>
  <c r="BN48" i="18"/>
  <c r="BN55" i="18"/>
  <c r="BN71" i="18"/>
  <c r="BN57" i="18"/>
  <c r="BN73" i="18"/>
  <c r="BN50" i="18"/>
  <c r="BN52" i="18"/>
  <c r="BN54" i="18"/>
  <c r="BN72" i="18"/>
  <c r="BN59" i="18"/>
  <c r="BN75" i="18"/>
  <c r="BN61" i="18"/>
  <c r="BN58" i="18"/>
  <c r="BN60" i="18"/>
  <c r="BN62" i="18"/>
  <c r="BN63" i="18"/>
  <c r="BN65" i="18"/>
  <c r="BN66" i="18"/>
  <c r="BN68" i="18"/>
  <c r="BN70" i="18"/>
  <c r="BN56" i="18"/>
  <c r="AD64" i="18"/>
  <c r="AD57" i="18"/>
  <c r="AD73" i="18"/>
  <c r="AD66" i="18"/>
  <c r="AD51" i="18"/>
  <c r="AD67" i="18"/>
  <c r="AD52" i="18"/>
  <c r="AD68" i="18"/>
  <c r="AD61" i="18"/>
  <c r="AD54" i="18"/>
  <c r="AD70" i="18"/>
  <c r="AD55" i="18"/>
  <c r="AD71" i="18"/>
  <c r="AD56" i="18"/>
  <c r="AD72" i="18"/>
  <c r="AD49" i="18"/>
  <c r="AD65" i="18"/>
  <c r="AD58" i="18"/>
  <c r="AD74" i="18"/>
  <c r="AD59" i="18"/>
  <c r="AD75" i="18"/>
  <c r="AD60" i="18"/>
  <c r="AD69" i="18"/>
  <c r="AD62" i="18"/>
  <c r="AD63" i="18"/>
  <c r="AD48" i="18"/>
  <c r="L57" i="18"/>
  <c r="L73" i="18"/>
  <c r="L55" i="18"/>
  <c r="L71" i="18"/>
  <c r="L66" i="18"/>
  <c r="L72" i="18"/>
  <c r="L64" i="18"/>
  <c r="L61" i="18"/>
  <c r="L59" i="18"/>
  <c r="L75" i="18"/>
  <c r="L74" i="18"/>
  <c r="L46" i="18"/>
  <c r="L60" i="18"/>
  <c r="L65" i="18"/>
  <c r="L47" i="18"/>
  <c r="L63" i="18"/>
  <c r="L50" i="18"/>
  <c r="L52" i="18"/>
  <c r="L68" i="18"/>
  <c r="L48" i="18"/>
  <c r="L49" i="18"/>
  <c r="L53" i="18"/>
  <c r="L69" i="18"/>
  <c r="L51" i="18"/>
  <c r="L67" i="18"/>
  <c r="L58" i="18"/>
  <c r="L62" i="18"/>
  <c r="L54" i="18"/>
  <c r="L56" i="18"/>
  <c r="L70" i="18"/>
  <c r="AD50" i="18"/>
  <c r="AD53" i="18"/>
  <c r="AD47" i="18"/>
  <c r="F33" i="18"/>
  <c r="T61" i="18"/>
  <c r="U61" i="18" s="1"/>
  <c r="BV45" i="18"/>
  <c r="F32" i="18"/>
  <c r="F34" i="18"/>
  <c r="BP45" i="18" s="1"/>
  <c r="BQ45" i="18" s="1"/>
  <c r="N48" i="18" l="1"/>
  <c r="N58" i="18"/>
  <c r="N59" i="18"/>
  <c r="O59" i="18" s="1"/>
  <c r="AF49" i="18"/>
  <c r="AG49" i="18" s="1"/>
  <c r="AF50" i="18"/>
  <c r="AG50" i="18" s="1"/>
  <c r="AF47" i="18"/>
  <c r="AG47" i="18" s="1"/>
  <c r="AL50" i="18"/>
  <c r="AM50" i="18" s="1"/>
  <c r="AL49" i="18"/>
  <c r="AM49" i="18" s="1"/>
  <c r="AL46" i="18"/>
  <c r="AM46" i="18" s="1"/>
  <c r="AX75" i="18"/>
  <c r="AY75" i="18" s="1"/>
  <c r="AZ75" i="18" s="1"/>
  <c r="AX71" i="18"/>
  <c r="AY71" i="18" s="1"/>
  <c r="AX67" i="18"/>
  <c r="AY67" i="18" s="1"/>
  <c r="AX63" i="18"/>
  <c r="AY63" i="18" s="1"/>
  <c r="AX59" i="18"/>
  <c r="AY59" i="18" s="1"/>
  <c r="AX55" i="18"/>
  <c r="AY55" i="18" s="1"/>
  <c r="AX50" i="18"/>
  <c r="AY50" i="18" s="1"/>
  <c r="AX51" i="18"/>
  <c r="AY51" i="18" s="1"/>
  <c r="AX74" i="18"/>
  <c r="AY74" i="18" s="1"/>
  <c r="AX70" i="18"/>
  <c r="AY70" i="18" s="1"/>
  <c r="AX66" i="18"/>
  <c r="AY66" i="18" s="1"/>
  <c r="AX62" i="18"/>
  <c r="AY62" i="18" s="1"/>
  <c r="AX58" i="18"/>
  <c r="AY58" i="18" s="1"/>
  <c r="AX54" i="18"/>
  <c r="AY54" i="18" s="1"/>
  <c r="AX49" i="18"/>
  <c r="AY49" i="18" s="1"/>
  <c r="AX48" i="18"/>
  <c r="AY48" i="18" s="1"/>
  <c r="AX69" i="18"/>
  <c r="AY69" i="18" s="1"/>
  <c r="AX61" i="18"/>
  <c r="AY61" i="18" s="1"/>
  <c r="AX53" i="18"/>
  <c r="AY53" i="18" s="1"/>
  <c r="AX65" i="18"/>
  <c r="AY65" i="18" s="1"/>
  <c r="AX46" i="18"/>
  <c r="AY46" i="18" s="1"/>
  <c r="AX47" i="18"/>
  <c r="AY47" i="18" s="1"/>
  <c r="AX72" i="18"/>
  <c r="AY72" i="18" s="1"/>
  <c r="AX68" i="18"/>
  <c r="AY68" i="18" s="1"/>
  <c r="AX60" i="18"/>
  <c r="AY60" i="18" s="1"/>
  <c r="AX52" i="18"/>
  <c r="AY52" i="18" s="1"/>
  <c r="AX73" i="18"/>
  <c r="AY73" i="18" s="1"/>
  <c r="AX57" i="18"/>
  <c r="AY57" i="18" s="1"/>
  <c r="AX45" i="18"/>
  <c r="AY45" i="18" s="1"/>
  <c r="AX64" i="18"/>
  <c r="AY64" i="18" s="1"/>
  <c r="AX56" i="18"/>
  <c r="AY56" i="18" s="1"/>
  <c r="BD49" i="18"/>
  <c r="BE49" i="18" s="1"/>
  <c r="BD53" i="18"/>
  <c r="BE53" i="18" s="1"/>
  <c r="BD57" i="18"/>
  <c r="BE57" i="18" s="1"/>
  <c r="BD61" i="18"/>
  <c r="BE61" i="18" s="1"/>
  <c r="BD65" i="18"/>
  <c r="BE65" i="18" s="1"/>
  <c r="BD69" i="18"/>
  <c r="BE69" i="18" s="1"/>
  <c r="BD73" i="18"/>
  <c r="BE73" i="18" s="1"/>
  <c r="BD47" i="18"/>
  <c r="BE47" i="18" s="1"/>
  <c r="BD55" i="18"/>
  <c r="BE55" i="18" s="1"/>
  <c r="BD63" i="18"/>
  <c r="BE63" i="18" s="1"/>
  <c r="BD71" i="18"/>
  <c r="BE71" i="18" s="1"/>
  <c r="BD46" i="18"/>
  <c r="BE46" i="18" s="1"/>
  <c r="BD50" i="18"/>
  <c r="BE50" i="18" s="1"/>
  <c r="BD54" i="18"/>
  <c r="BE54" i="18" s="1"/>
  <c r="BD58" i="18"/>
  <c r="BE58" i="18" s="1"/>
  <c r="BD62" i="18"/>
  <c r="BE62" i="18" s="1"/>
  <c r="BD66" i="18"/>
  <c r="BE66" i="18" s="1"/>
  <c r="BD70" i="18"/>
  <c r="BE70" i="18" s="1"/>
  <c r="BD74" i="18"/>
  <c r="BE74" i="18" s="1"/>
  <c r="BD51" i="18"/>
  <c r="BE51" i="18" s="1"/>
  <c r="BD59" i="18"/>
  <c r="BE59" i="18" s="1"/>
  <c r="BD67" i="18"/>
  <c r="BE67" i="18" s="1"/>
  <c r="BD75" i="18"/>
  <c r="BE75" i="18" s="1"/>
  <c r="BF75" i="18" s="1"/>
  <c r="BD56" i="18"/>
  <c r="BE56" i="18" s="1"/>
  <c r="BD72" i="18"/>
  <c r="BE72" i="18" s="1"/>
  <c r="BD48" i="18"/>
  <c r="BE48" i="18" s="1"/>
  <c r="BD68" i="18"/>
  <c r="BE68" i="18" s="1"/>
  <c r="BD60" i="18"/>
  <c r="BE60" i="18" s="1"/>
  <c r="BD45" i="18"/>
  <c r="BE45" i="18" s="1"/>
  <c r="BD64" i="18"/>
  <c r="BE64" i="18" s="1"/>
  <c r="BD52" i="18"/>
  <c r="BE52" i="18" s="1"/>
  <c r="BV59" i="18"/>
  <c r="BW59" i="18" s="1"/>
  <c r="AF45" i="18"/>
  <c r="AG45" i="18" s="1"/>
  <c r="AF46" i="18"/>
  <c r="AG46" i="18" s="1"/>
  <c r="AL56" i="18"/>
  <c r="AM56" i="18" s="1"/>
  <c r="AL45" i="18"/>
  <c r="AM45" i="18" s="1"/>
  <c r="AL59" i="18"/>
  <c r="AM59" i="18" s="1"/>
  <c r="AL54" i="18"/>
  <c r="AM54" i="18" s="1"/>
  <c r="AL66" i="18"/>
  <c r="AM66" i="18" s="1"/>
  <c r="AL71" i="18"/>
  <c r="AM71" i="18" s="1"/>
  <c r="AL51" i="18"/>
  <c r="AM51" i="18" s="1"/>
  <c r="AL68" i="18"/>
  <c r="AM68" i="18" s="1"/>
  <c r="AL65" i="18"/>
  <c r="AM65" i="18" s="1"/>
  <c r="AL53" i="18"/>
  <c r="AM53" i="18" s="1"/>
  <c r="AL67" i="18"/>
  <c r="AM67" i="18" s="1"/>
  <c r="AL70" i="18"/>
  <c r="AM70" i="18" s="1"/>
  <c r="AL58" i="18"/>
  <c r="AM58" i="18" s="1"/>
  <c r="AL69" i="18"/>
  <c r="AM69" i="18" s="1"/>
  <c r="AL63" i="18"/>
  <c r="AM63" i="18" s="1"/>
  <c r="AL47" i="18"/>
  <c r="AM47" i="18" s="1"/>
  <c r="AL62" i="18"/>
  <c r="AM62" i="18" s="1"/>
  <c r="AL74" i="18"/>
  <c r="AM74" i="18" s="1"/>
  <c r="AL61" i="18"/>
  <c r="AM61" i="18" s="1"/>
  <c r="AL75" i="18"/>
  <c r="AM75" i="18" s="1"/>
  <c r="AN75" i="18" s="1"/>
  <c r="AL48" i="18"/>
  <c r="AM48" i="18" s="1"/>
  <c r="AL52" i="18"/>
  <c r="AM52" i="18" s="1"/>
  <c r="T75" i="18"/>
  <c r="U75" i="18" s="1"/>
  <c r="V75" i="18" s="1"/>
  <c r="T45" i="18"/>
  <c r="U45" i="18" s="1"/>
  <c r="BV66" i="18"/>
  <c r="BW66" i="18" s="1"/>
  <c r="N70" i="18"/>
  <c r="O70" i="18" s="1"/>
  <c r="T69" i="18"/>
  <c r="U69" i="18" s="1"/>
  <c r="BV67" i="18"/>
  <c r="BW67" i="18" s="1"/>
  <c r="T57" i="18"/>
  <c r="U57" i="18" s="1"/>
  <c r="BV47" i="18"/>
  <c r="BW47" i="18" s="1"/>
  <c r="T51" i="18"/>
  <c r="U51" i="18" s="1"/>
  <c r="T59" i="18"/>
  <c r="U59" i="18" s="1"/>
  <c r="BV69" i="18"/>
  <c r="BW69" i="18" s="1"/>
  <c r="BV52" i="18"/>
  <c r="BW52" i="18" s="1"/>
  <c r="T71" i="18"/>
  <c r="U71" i="18" s="1"/>
  <c r="T58" i="18"/>
  <c r="U58" i="18" s="1"/>
  <c r="BV54" i="18"/>
  <c r="BW54" i="18" s="1"/>
  <c r="BV55" i="18"/>
  <c r="BW55" i="18" s="1"/>
  <c r="T56" i="18"/>
  <c r="U56" i="18" s="1"/>
  <c r="T74" i="18"/>
  <c r="U74" i="18" s="1"/>
  <c r="T67" i="18"/>
  <c r="U67" i="18" s="1"/>
  <c r="T55" i="18"/>
  <c r="U55" i="18" s="1"/>
  <c r="BV62" i="18"/>
  <c r="BW62" i="18" s="1"/>
  <c r="BV65" i="18"/>
  <c r="BW65" i="18" s="1"/>
  <c r="BV75" i="18"/>
  <c r="BW75" i="18" s="1"/>
  <c r="BX75" i="18" s="1"/>
  <c r="BV57" i="18"/>
  <c r="BW57" i="18" s="1"/>
  <c r="T46" i="18"/>
  <c r="U46" i="18" s="1"/>
  <c r="T52" i="18"/>
  <c r="U52" i="18" s="1"/>
  <c r="T62" i="18"/>
  <c r="U62" i="18" s="1"/>
  <c r="T65" i="18"/>
  <c r="U65" i="18" s="1"/>
  <c r="BW45" i="18"/>
  <c r="BV70" i="18"/>
  <c r="BW70" i="18" s="1"/>
  <c r="BV72" i="18"/>
  <c r="BW72" i="18" s="1"/>
  <c r="BV63" i="18"/>
  <c r="BW63" i="18" s="1"/>
  <c r="T66" i="18"/>
  <c r="U66" i="18" s="1"/>
  <c r="T64" i="18"/>
  <c r="U64" i="18" s="1"/>
  <c r="T50" i="18"/>
  <c r="U50" i="18" s="1"/>
  <c r="T47" i="18"/>
  <c r="U47" i="18" s="1"/>
  <c r="T70" i="18"/>
  <c r="U70" i="18" s="1"/>
  <c r="T72" i="18"/>
  <c r="U72" i="18" s="1"/>
  <c r="T73" i="18"/>
  <c r="U73" i="18" s="1"/>
  <c r="BV46" i="18"/>
  <c r="BW46" i="18" s="1"/>
  <c r="BX46" i="18" s="1"/>
  <c r="BV73" i="18"/>
  <c r="BW73" i="18" s="1"/>
  <c r="BV74" i="18"/>
  <c r="BW74" i="18" s="1"/>
  <c r="BV58" i="18"/>
  <c r="BW58" i="18" s="1"/>
  <c r="BV50" i="18"/>
  <c r="BW50" i="18" s="1"/>
  <c r="BV64" i="18"/>
  <c r="BW64" i="18" s="1"/>
  <c r="BV48" i="18"/>
  <c r="BW48" i="18" s="1"/>
  <c r="BV71" i="18"/>
  <c r="BW71" i="18" s="1"/>
  <c r="BX71" i="18" s="1"/>
  <c r="AL55" i="18"/>
  <c r="AM55" i="18" s="1"/>
  <c r="AL57" i="18"/>
  <c r="AM57" i="18" s="1"/>
  <c r="AL64" i="18"/>
  <c r="AM64" i="18" s="1"/>
  <c r="AL73" i="18"/>
  <c r="AM73" i="18" s="1"/>
  <c r="AL72" i="18"/>
  <c r="AM72" i="18" s="1"/>
  <c r="AL60" i="18"/>
  <c r="AM60" i="18" s="1"/>
  <c r="T60" i="18"/>
  <c r="U60" i="18" s="1"/>
  <c r="T53" i="18"/>
  <c r="U53" i="18" s="1"/>
  <c r="T48" i="18"/>
  <c r="U48" i="18" s="1"/>
  <c r="T54" i="18"/>
  <c r="U54" i="18" s="1"/>
  <c r="T49" i="18"/>
  <c r="U49" i="18" s="1"/>
  <c r="T68" i="18"/>
  <c r="U68" i="18" s="1"/>
  <c r="T63" i="18"/>
  <c r="U63" i="18" s="1"/>
  <c r="BV60" i="18"/>
  <c r="BW60" i="18" s="1"/>
  <c r="BV49" i="18"/>
  <c r="BW49" i="18" s="1"/>
  <c r="BV51" i="18"/>
  <c r="BW51" i="18" s="1"/>
  <c r="BV56" i="18"/>
  <c r="BW56" i="18" s="1"/>
  <c r="BX56" i="18" s="1"/>
  <c r="BV68" i="18"/>
  <c r="BW68" i="18" s="1"/>
  <c r="BV61" i="18"/>
  <c r="BW61" i="18" s="1"/>
  <c r="BV53" i="18"/>
  <c r="BW53" i="18" s="1"/>
  <c r="BX53" i="18" s="1"/>
  <c r="N51" i="18"/>
  <c r="O51" i="18" s="1"/>
  <c r="O58" i="18"/>
  <c r="N54" i="18"/>
  <c r="O54" i="18" s="1"/>
  <c r="N56" i="18"/>
  <c r="O56" i="18" s="1"/>
  <c r="N55" i="18"/>
  <c r="O55" i="18" s="1"/>
  <c r="O48" i="18"/>
  <c r="N67" i="18"/>
  <c r="O67" i="18" s="1"/>
  <c r="N75" i="18"/>
  <c r="O75" i="18" s="1"/>
  <c r="N72" i="18"/>
  <c r="O72" i="18" s="1"/>
  <c r="N73" i="18"/>
  <c r="O73" i="18" s="1"/>
  <c r="N64" i="18"/>
  <c r="O64" i="18" s="1"/>
  <c r="N50" i="18"/>
  <c r="O50" i="18" s="1"/>
  <c r="N62" i="18"/>
  <c r="O62" i="18" s="1"/>
  <c r="N53" i="18"/>
  <c r="O53" i="18" s="1"/>
  <c r="N71" i="18"/>
  <c r="O71" i="18" s="1"/>
  <c r="N69" i="18"/>
  <c r="O69" i="18" s="1"/>
  <c r="N49" i="18"/>
  <c r="O49" i="18" s="1"/>
  <c r="N65" i="18"/>
  <c r="O65" i="18" s="1"/>
  <c r="N74" i="18"/>
  <c r="O74" i="18" s="1"/>
  <c r="N52" i="18"/>
  <c r="O52" i="18" s="1"/>
  <c r="N57" i="18"/>
  <c r="O57" i="18" s="1"/>
  <c r="N66" i="18"/>
  <c r="O66" i="18" s="1"/>
  <c r="N68" i="18"/>
  <c r="O68" i="18" s="1"/>
  <c r="N46" i="18"/>
  <c r="O46" i="18" s="1"/>
  <c r="P45" i="18" s="1"/>
  <c r="N61" i="18"/>
  <c r="O61" i="18" s="1"/>
  <c r="N60" i="18"/>
  <c r="O60" i="18" s="1"/>
  <c r="O47" i="18"/>
  <c r="N63" i="18"/>
  <c r="O63" i="18" s="1"/>
  <c r="AF71" i="18"/>
  <c r="AG71" i="18" s="1"/>
  <c r="AF67" i="18"/>
  <c r="AG67" i="18" s="1"/>
  <c r="AF63" i="18"/>
  <c r="AG63" i="18" s="1"/>
  <c r="AF59" i="18"/>
  <c r="AG59" i="18" s="1"/>
  <c r="AF75" i="18"/>
  <c r="AG75" i="18" s="1"/>
  <c r="AF72" i="18"/>
  <c r="AG72" i="18" s="1"/>
  <c r="AF68" i="18"/>
  <c r="AG68" i="18" s="1"/>
  <c r="AF64" i="18"/>
  <c r="AG64" i="18" s="1"/>
  <c r="AF60" i="18"/>
  <c r="AG60" i="18" s="1"/>
  <c r="AF58" i="18"/>
  <c r="AG58" i="18" s="1"/>
  <c r="AF54" i="18"/>
  <c r="AG54" i="18" s="1"/>
  <c r="AF61" i="18"/>
  <c r="AG61" i="18" s="1"/>
  <c r="AF69" i="18"/>
  <c r="AG69" i="18" s="1"/>
  <c r="AF56" i="18"/>
  <c r="AG56" i="18" s="1"/>
  <c r="AF65" i="18"/>
  <c r="AG65" i="18" s="1"/>
  <c r="AF57" i="18"/>
  <c r="AG57" i="18" s="1"/>
  <c r="AF52" i="18"/>
  <c r="AG52" i="18" s="1"/>
  <c r="AF66" i="18"/>
  <c r="AG66" i="18" s="1"/>
  <c r="AF48" i="18"/>
  <c r="AG48" i="18" s="1"/>
  <c r="AF73" i="18"/>
  <c r="AG73" i="18" s="1"/>
  <c r="AF53" i="18"/>
  <c r="AG53" i="18" s="1"/>
  <c r="AF62" i="18"/>
  <c r="AG62" i="18" s="1"/>
  <c r="AF70" i="18"/>
  <c r="AG70" i="18" s="1"/>
  <c r="AF55" i="18"/>
  <c r="AG55" i="18" s="1"/>
  <c r="AF51" i="18"/>
  <c r="AG51" i="18" s="1"/>
  <c r="AF74" i="18"/>
  <c r="AG74" i="18" s="1"/>
  <c r="BP72" i="18"/>
  <c r="BQ72" i="18" s="1"/>
  <c r="BP68" i="18"/>
  <c r="BQ68" i="18" s="1"/>
  <c r="BP64" i="18"/>
  <c r="BQ64" i="18" s="1"/>
  <c r="BP60" i="18"/>
  <c r="BQ60" i="18" s="1"/>
  <c r="BP73" i="18"/>
  <c r="BQ73" i="18" s="1"/>
  <c r="BP69" i="18"/>
  <c r="BQ69" i="18" s="1"/>
  <c r="BP65" i="18"/>
  <c r="BQ65" i="18" s="1"/>
  <c r="BP61" i="18"/>
  <c r="BQ61" i="18" s="1"/>
  <c r="BP55" i="18"/>
  <c r="BQ55" i="18" s="1"/>
  <c r="BP51" i="18"/>
  <c r="BQ51" i="18" s="1"/>
  <c r="BP74" i="18"/>
  <c r="BQ74" i="18" s="1"/>
  <c r="BP46" i="18"/>
  <c r="BQ46" i="18" s="1"/>
  <c r="BR45" i="18" s="1"/>
  <c r="BS45" i="18" s="1"/>
  <c r="BT45" i="18" s="1"/>
  <c r="BP50" i="18"/>
  <c r="BQ50" i="18" s="1"/>
  <c r="BP47" i="18"/>
  <c r="BQ47" i="18" s="1"/>
  <c r="BP53" i="18"/>
  <c r="BQ53" i="18" s="1"/>
  <c r="BP71" i="18"/>
  <c r="BQ71" i="18" s="1"/>
  <c r="BP52" i="18"/>
  <c r="BQ52" i="18" s="1"/>
  <c r="BP48" i="18"/>
  <c r="BQ48" i="18" s="1"/>
  <c r="BP62" i="18"/>
  <c r="BQ62" i="18" s="1"/>
  <c r="BP58" i="18"/>
  <c r="BQ58" i="18" s="1"/>
  <c r="BP59" i="18"/>
  <c r="BQ59" i="18" s="1"/>
  <c r="BP67" i="18"/>
  <c r="BQ67" i="18" s="1"/>
  <c r="BP66" i="18"/>
  <c r="BQ66" i="18" s="1"/>
  <c r="BP49" i="18"/>
  <c r="BQ49" i="18" s="1"/>
  <c r="BP57" i="18"/>
  <c r="BQ57" i="18" s="1"/>
  <c r="BP70" i="18"/>
  <c r="BQ70" i="18" s="1"/>
  <c r="BP54" i="18"/>
  <c r="BQ54" i="18" s="1"/>
  <c r="BP56" i="18"/>
  <c r="BQ56" i="18" s="1"/>
  <c r="BP75" i="18"/>
  <c r="BQ75" i="18" s="1"/>
  <c r="BP63" i="18"/>
  <c r="BQ63" i="18" s="1"/>
  <c r="BX65" i="18" l="1"/>
  <c r="BX58" i="18"/>
  <c r="AZ74" i="18"/>
  <c r="BX74" i="18"/>
  <c r="BX70" i="18"/>
  <c r="BX68" i="18"/>
  <c r="BX49" i="18"/>
  <c r="BX51" i="18"/>
  <c r="BX61" i="18"/>
  <c r="BX67" i="18"/>
  <c r="BX63" i="18"/>
  <c r="BX72" i="18"/>
  <c r="BX66" i="18"/>
  <c r="BX60" i="18"/>
  <c r="BX64" i="18"/>
  <c r="BX73" i="18"/>
  <c r="BX45" i="18"/>
  <c r="BY45" i="18" s="1"/>
  <c r="BX62" i="18"/>
  <c r="BX50" i="18"/>
  <c r="BX57" i="18"/>
  <c r="BX55" i="18"/>
  <c r="BX52" i="18"/>
  <c r="BX47" i="18"/>
  <c r="BX48" i="18"/>
  <c r="BX54" i="18"/>
  <c r="BX69" i="18"/>
  <c r="BX59" i="18"/>
  <c r="P75" i="18"/>
  <c r="BR49" i="18"/>
  <c r="BR47" i="18"/>
  <c r="AH54" i="18"/>
  <c r="AH75" i="18"/>
  <c r="AH51" i="18"/>
  <c r="AN56" i="18"/>
  <c r="AZ46" i="18"/>
  <c r="AZ53" i="18"/>
  <c r="AZ56" i="18"/>
  <c r="AZ51" i="18"/>
  <c r="AZ45" i="18"/>
  <c r="BA45" i="18" s="1"/>
  <c r="BF48" i="18"/>
  <c r="BF45" i="18"/>
  <c r="BG45" i="18" s="1"/>
  <c r="AZ58" i="18"/>
  <c r="BF49" i="18"/>
  <c r="BF74" i="18"/>
  <c r="BF57" i="18"/>
  <c r="AZ47" i="18"/>
  <c r="AZ48" i="18"/>
  <c r="AZ66" i="18"/>
  <c r="AZ71" i="18"/>
  <c r="BF70" i="18"/>
  <c r="BF52" i="18"/>
  <c r="BF73" i="18"/>
  <c r="AZ61" i="18"/>
  <c r="AZ62" i="18"/>
  <c r="AZ54" i="18"/>
  <c r="AZ64" i="18"/>
  <c r="AZ73" i="18"/>
  <c r="BF65" i="18"/>
  <c r="BF62" i="18"/>
  <c r="BF53" i="18"/>
  <c r="BF50" i="18"/>
  <c r="BF64" i="18"/>
  <c r="BF46" i="18"/>
  <c r="AZ52" i="18"/>
  <c r="AZ67" i="18"/>
  <c r="AZ65" i="18"/>
  <c r="BF71" i="18"/>
  <c r="BF59" i="18"/>
  <c r="BF66" i="18"/>
  <c r="BF58" i="18"/>
  <c r="BF47" i="18"/>
  <c r="AZ59" i="18"/>
  <c r="AZ50" i="18"/>
  <c r="AZ70" i="18"/>
  <c r="AZ69" i="18"/>
  <c r="BF68" i="18"/>
  <c r="BF60" i="18"/>
  <c r="BF51" i="18"/>
  <c r="BF55" i="18"/>
  <c r="AZ57" i="18"/>
  <c r="AZ60" i="18"/>
  <c r="AZ55" i="18"/>
  <c r="AZ49" i="18"/>
  <c r="AZ68" i="18"/>
  <c r="AZ63" i="18"/>
  <c r="AZ72" i="18"/>
  <c r="BF67" i="18"/>
  <c r="BF56" i="18"/>
  <c r="BF63" i="18"/>
  <c r="BF69" i="18"/>
  <c r="BF72" i="18"/>
  <c r="BF61" i="18"/>
  <c r="BF54" i="18"/>
  <c r="BR56" i="18"/>
  <c r="BR71" i="18"/>
  <c r="BR55" i="18"/>
  <c r="BR62" i="18"/>
  <c r="BR61" i="18"/>
  <c r="BR63" i="18"/>
  <c r="BR48" i="18"/>
  <c r="BS48" i="18" s="1"/>
  <c r="BR74" i="18"/>
  <c r="BR64" i="18"/>
  <c r="BR58" i="18"/>
  <c r="BR50" i="18"/>
  <c r="BR73" i="18"/>
  <c r="BR72" i="18"/>
  <c r="BR54" i="18"/>
  <c r="BR66" i="18"/>
  <c r="BR46" i="18"/>
  <c r="BR60" i="18"/>
  <c r="BR70" i="18"/>
  <c r="BR67" i="18"/>
  <c r="BS67" i="18" s="1"/>
  <c r="BT67" i="18" s="1"/>
  <c r="BR53" i="18"/>
  <c r="BR65" i="18"/>
  <c r="BR75" i="18"/>
  <c r="BR57" i="18"/>
  <c r="BR59" i="18"/>
  <c r="BR52" i="18"/>
  <c r="BR51" i="18"/>
  <c r="BS51" i="18" s="1"/>
  <c r="BT51" i="18" s="1"/>
  <c r="BR69" i="18"/>
  <c r="BR68" i="18"/>
  <c r="AH74" i="18"/>
  <c r="AN73" i="18"/>
  <c r="AN49" i="18"/>
  <c r="AN50" i="18"/>
  <c r="AN64" i="18"/>
  <c r="AN69" i="18"/>
  <c r="AN54" i="18"/>
  <c r="AH55" i="18"/>
  <c r="AN60" i="18"/>
  <c r="AN57" i="18"/>
  <c r="AN62" i="18"/>
  <c r="AN58" i="18"/>
  <c r="AN53" i="18"/>
  <c r="AN71" i="18"/>
  <c r="AN59" i="18"/>
  <c r="AH46" i="18"/>
  <c r="AH52" i="18"/>
  <c r="V61" i="18"/>
  <c r="AN52" i="18"/>
  <c r="AN63" i="18"/>
  <c r="AN46" i="18"/>
  <c r="AN68" i="18"/>
  <c r="AN48" i="18"/>
  <c r="AN74" i="18"/>
  <c r="AN67" i="18"/>
  <c r="AN51" i="18"/>
  <c r="AN72" i="18"/>
  <c r="AN55" i="18"/>
  <c r="AN61" i="18"/>
  <c r="AN47" i="18"/>
  <c r="AN70" i="18"/>
  <c r="AN65" i="18"/>
  <c r="AN66" i="18"/>
  <c r="AN45" i="18"/>
  <c r="AO45" i="18" s="1"/>
  <c r="AH73" i="18"/>
  <c r="AH66" i="18"/>
  <c r="AH65" i="18"/>
  <c r="AH49" i="18"/>
  <c r="AH59" i="18"/>
  <c r="AH70" i="18"/>
  <c r="AH56" i="18"/>
  <c r="AH68" i="18"/>
  <c r="AH48" i="18"/>
  <c r="AH63" i="18"/>
  <c r="AH62" i="18"/>
  <c r="AH58" i="18"/>
  <c r="AH53" i="18"/>
  <c r="AH47" i="18"/>
  <c r="AH57" i="18"/>
  <c r="AH61" i="18"/>
  <c r="AH60" i="18"/>
  <c r="AH71" i="18"/>
  <c r="AH64" i="18"/>
  <c r="AH50" i="18"/>
  <c r="AH69" i="18"/>
  <c r="AH72" i="18"/>
  <c r="AH67" i="18"/>
  <c r="AH45" i="18"/>
  <c r="AI45" i="18" s="1"/>
  <c r="V49" i="18"/>
  <c r="V60" i="18"/>
  <c r="V72" i="18"/>
  <c r="V64" i="18"/>
  <c r="V58" i="18"/>
  <c r="V54" i="18"/>
  <c r="V70" i="18"/>
  <c r="V66" i="18"/>
  <c r="V46" i="18"/>
  <c r="V56" i="18"/>
  <c r="V71" i="18"/>
  <c r="V51" i="18"/>
  <c r="V69" i="18"/>
  <c r="V45" i="18"/>
  <c r="W45" i="18" s="1"/>
  <c r="V63" i="18"/>
  <c r="V48" i="18"/>
  <c r="V47" i="18"/>
  <c r="V65" i="18"/>
  <c r="V55" i="18"/>
  <c r="V52" i="18"/>
  <c r="V74" i="18"/>
  <c r="V59" i="18"/>
  <c r="P46" i="18"/>
  <c r="Q46" i="18" s="1"/>
  <c r="V68" i="18"/>
  <c r="V53" i="18"/>
  <c r="V73" i="18"/>
  <c r="V50" i="18"/>
  <c r="V62" i="18"/>
  <c r="V67" i="18"/>
  <c r="V57" i="18"/>
  <c r="P63" i="18"/>
  <c r="Q63" i="18" s="1"/>
  <c r="P59" i="18"/>
  <c r="Q59" i="18" s="1"/>
  <c r="R59" i="18" s="1"/>
  <c r="P72" i="18"/>
  <c r="P51" i="18"/>
  <c r="P52" i="18"/>
  <c r="Q52" i="18" s="1"/>
  <c r="P69" i="18"/>
  <c r="Q69" i="18" s="1"/>
  <c r="R69" i="18" s="1"/>
  <c r="P56" i="18"/>
  <c r="P70" i="18"/>
  <c r="P60" i="18"/>
  <c r="Q60" i="18" s="1"/>
  <c r="P68" i="18"/>
  <c r="Q68" i="18" s="1"/>
  <c r="P74" i="18"/>
  <c r="P71" i="18"/>
  <c r="P64" i="18"/>
  <c r="Q64" i="18" s="1"/>
  <c r="P67" i="18"/>
  <c r="Q67" i="18" s="1"/>
  <c r="P54" i="18"/>
  <c r="P57" i="18"/>
  <c r="P62" i="18"/>
  <c r="Q62" i="18" s="1"/>
  <c r="P55" i="18"/>
  <c r="Q55" i="18" s="1"/>
  <c r="P47" i="18"/>
  <c r="Q47" i="18" s="1"/>
  <c r="P61" i="18"/>
  <c r="P66" i="18"/>
  <c r="Q66" i="18" s="1"/>
  <c r="P65" i="18"/>
  <c r="Q65" i="18" s="1"/>
  <c r="P53" i="18"/>
  <c r="P73" i="18"/>
  <c r="P48" i="18"/>
  <c r="Q48" i="18" s="1"/>
  <c r="P58" i="18"/>
  <c r="Q58" i="18" s="1"/>
  <c r="Q73" i="18" l="1"/>
  <c r="Q61" i="18"/>
  <c r="Q57" i="18"/>
  <c r="Q71" i="18"/>
  <c r="Q70" i="18"/>
  <c r="Q51" i="18"/>
  <c r="Q53" i="18"/>
  <c r="R53" i="18" s="1"/>
  <c r="Q54" i="18"/>
  <c r="Q74" i="18"/>
  <c r="Q56" i="18"/>
  <c r="Q72" i="18"/>
  <c r="Q75" i="18"/>
  <c r="R75" i="18" s="1"/>
  <c r="BA63" i="18"/>
  <c r="BB63" i="18" s="1"/>
  <c r="BA50" i="18"/>
  <c r="BA67" i="18"/>
  <c r="BB67" i="18" s="1"/>
  <c r="BA73" i="18"/>
  <c r="BA48" i="18"/>
  <c r="BA60" i="18"/>
  <c r="BA54" i="18"/>
  <c r="AI46" i="18"/>
  <c r="AI55" i="18"/>
  <c r="AO58" i="18"/>
  <c r="BA72" i="18"/>
  <c r="BA55" i="18"/>
  <c r="BB55" i="18" s="1"/>
  <c r="BA70" i="18"/>
  <c r="BA65" i="18"/>
  <c r="BA64" i="18"/>
  <c r="BB64" i="18" s="1"/>
  <c r="BA66" i="18"/>
  <c r="BB66" i="18" s="1"/>
  <c r="BA53" i="18"/>
  <c r="BA68" i="18"/>
  <c r="BA57" i="18"/>
  <c r="BB57" i="18" s="1"/>
  <c r="BA59" i="18"/>
  <c r="BB59" i="18" s="1"/>
  <c r="BA52" i="18"/>
  <c r="BB52" i="18" s="1"/>
  <c r="BA75" i="18"/>
  <c r="BB75" i="18" s="1"/>
  <c r="BA62" i="18"/>
  <c r="BA47" i="18"/>
  <c r="BB47" i="18" s="1"/>
  <c r="BA58" i="18"/>
  <c r="BA51" i="18"/>
  <c r="BB51" i="18" s="1"/>
  <c r="BA46" i="18"/>
  <c r="BA56" i="18"/>
  <c r="BB56" i="18" s="1"/>
  <c r="BA49" i="18"/>
  <c r="BA69" i="18"/>
  <c r="BB69" i="18" s="1"/>
  <c r="BA74" i="18"/>
  <c r="BA61" i="18"/>
  <c r="BB61" i="18" s="1"/>
  <c r="BA71" i="18"/>
  <c r="BG47" i="18"/>
  <c r="BG51" i="18"/>
  <c r="BG55" i="18"/>
  <c r="BG59" i="18"/>
  <c r="BG64" i="18"/>
  <c r="BG68" i="18"/>
  <c r="BG72" i="18"/>
  <c r="BG48" i="18"/>
  <c r="BG52" i="18"/>
  <c r="BG56" i="18"/>
  <c r="BG60" i="18"/>
  <c r="BH60" i="18" s="1"/>
  <c r="BG65" i="18"/>
  <c r="BG69" i="18"/>
  <c r="BH69" i="18" s="1"/>
  <c r="BG73" i="18"/>
  <c r="BG62" i="18"/>
  <c r="BG49" i="18"/>
  <c r="BG53" i="18"/>
  <c r="BH53" i="18" s="1"/>
  <c r="BG57" i="18"/>
  <c r="BG61" i="18"/>
  <c r="BG66" i="18"/>
  <c r="BG70" i="18"/>
  <c r="BG74" i="18"/>
  <c r="BG46" i="18"/>
  <c r="BH46" i="18" s="1"/>
  <c r="BG50" i="18"/>
  <c r="BH50" i="18" s="1"/>
  <c r="BG54" i="18"/>
  <c r="BG58" i="18"/>
  <c r="BH58" i="18" s="1"/>
  <c r="BG63" i="18"/>
  <c r="BG67" i="18"/>
  <c r="BG71" i="18"/>
  <c r="BG75" i="18"/>
  <c r="BB45" i="18"/>
  <c r="BS60" i="18"/>
  <c r="BT60" i="18" s="1"/>
  <c r="BZ45" i="18"/>
  <c r="BY75" i="18"/>
  <c r="BY51" i="18"/>
  <c r="W75" i="18"/>
  <c r="AO54" i="18"/>
  <c r="AP54" i="18" s="1"/>
  <c r="AO68" i="18"/>
  <c r="AP68" i="18" s="1"/>
  <c r="AO63" i="18"/>
  <c r="AP63" i="18" s="1"/>
  <c r="AO59" i="18"/>
  <c r="AO62" i="18"/>
  <c r="AP62" i="18" s="1"/>
  <c r="AO57" i="18"/>
  <c r="AP57" i="18" s="1"/>
  <c r="BY59" i="18"/>
  <c r="BY58" i="18"/>
  <c r="BY68" i="18"/>
  <c r="BY70" i="18"/>
  <c r="BY52" i="18"/>
  <c r="BY46" i="18"/>
  <c r="BY66" i="18"/>
  <c r="BY49" i="18"/>
  <c r="BY73" i="18"/>
  <c r="BY69" i="18"/>
  <c r="BY71" i="18"/>
  <c r="BY74" i="18"/>
  <c r="BY47" i="18"/>
  <c r="BY63" i="18"/>
  <c r="BY50" i="18"/>
  <c r="BY62" i="18"/>
  <c r="BY57" i="18"/>
  <c r="BY56" i="18"/>
  <c r="BY48" i="18"/>
  <c r="BS47" i="18"/>
  <c r="BT47" i="18" s="1"/>
  <c r="BY54" i="18"/>
  <c r="BY72" i="18"/>
  <c r="BY53" i="18"/>
  <c r="BY64" i="18"/>
  <c r="BY67" i="18"/>
  <c r="BY55" i="18"/>
  <c r="BY60" i="18"/>
  <c r="BY65" i="18"/>
  <c r="BY61" i="18"/>
  <c r="BS73" i="18"/>
  <c r="BT73" i="18" s="1"/>
  <c r="BS64" i="18"/>
  <c r="BT64" i="18" s="1"/>
  <c r="BT48" i="18"/>
  <c r="BS61" i="18"/>
  <c r="BT61" i="18" s="1"/>
  <c r="BS71" i="18"/>
  <c r="BT71" i="18" s="1"/>
  <c r="AI52" i="18"/>
  <c r="BS53" i="18"/>
  <c r="BT53" i="18" s="1"/>
  <c r="BS58" i="18"/>
  <c r="BT58" i="18" s="1"/>
  <c r="BS56" i="18"/>
  <c r="BT56" i="18" s="1"/>
  <c r="AI72" i="18"/>
  <c r="AI71" i="18"/>
  <c r="AI47" i="18"/>
  <c r="AJ47" i="18" s="1"/>
  <c r="AI62" i="18"/>
  <c r="AI49" i="18"/>
  <c r="AI69" i="18"/>
  <c r="AI60" i="18"/>
  <c r="AI53" i="18"/>
  <c r="AJ53" i="18" s="1"/>
  <c r="AI63" i="18"/>
  <c r="AI56" i="18"/>
  <c r="AI65" i="18"/>
  <c r="AP45" i="18"/>
  <c r="BS68" i="18"/>
  <c r="BT68" i="18" s="1"/>
  <c r="BS52" i="18"/>
  <c r="BT52" i="18" s="1"/>
  <c r="BS57" i="18"/>
  <c r="BT57" i="18" s="1"/>
  <c r="BS65" i="18"/>
  <c r="BT65" i="18" s="1"/>
  <c r="BS46" i="18"/>
  <c r="BT46" i="18" s="1"/>
  <c r="BS66" i="18"/>
  <c r="BT66" i="18" s="1"/>
  <c r="BS50" i="18"/>
  <c r="BT50" i="18" s="1"/>
  <c r="BS74" i="18"/>
  <c r="BT74" i="18" s="1"/>
  <c r="BS63" i="18"/>
  <c r="BT63" i="18" s="1"/>
  <c r="BS62" i="18"/>
  <c r="BT62" i="18" s="1"/>
  <c r="AI75" i="18"/>
  <c r="BS69" i="18"/>
  <c r="BT69" i="18" s="1"/>
  <c r="BS54" i="18"/>
  <c r="BT54" i="18" s="1"/>
  <c r="AI68" i="18"/>
  <c r="BS59" i="18"/>
  <c r="BT59" i="18" s="1"/>
  <c r="BS75" i="18"/>
  <c r="BT75" i="18" s="1"/>
  <c r="BS70" i="18"/>
  <c r="BT70" i="18" s="1"/>
  <c r="BS72" i="18"/>
  <c r="BT72" i="18" s="1"/>
  <c r="BS49" i="18"/>
  <c r="BT49" i="18" s="1"/>
  <c r="BS55" i="18"/>
  <c r="BT55" i="18" s="1"/>
  <c r="AO55" i="18"/>
  <c r="AO48" i="18"/>
  <c r="AO53" i="18"/>
  <c r="AO60" i="18"/>
  <c r="AJ45" i="18"/>
  <c r="AI50" i="18"/>
  <c r="AJ50" i="18" s="1"/>
  <c r="AI51" i="18"/>
  <c r="AI54" i="18"/>
  <c r="AI66" i="18"/>
  <c r="AI67" i="18"/>
  <c r="AI64" i="18"/>
  <c r="AI57" i="18"/>
  <c r="AI58" i="18"/>
  <c r="AI48" i="18"/>
  <c r="AI59" i="18"/>
  <c r="AI73" i="18"/>
  <c r="AO66" i="18"/>
  <c r="AO70" i="18"/>
  <c r="AO61" i="18"/>
  <c r="AO72" i="18"/>
  <c r="AO51" i="18"/>
  <c r="AO74" i="18"/>
  <c r="AO50" i="18"/>
  <c r="AO47" i="18"/>
  <c r="AO67" i="18"/>
  <c r="AI61" i="18"/>
  <c r="AI70" i="18"/>
  <c r="AO65" i="18"/>
  <c r="AO56" i="18"/>
  <c r="AO46" i="18"/>
  <c r="AO52" i="18"/>
  <c r="AO71" i="18"/>
  <c r="AO75" i="18"/>
  <c r="AO69" i="18"/>
  <c r="AO64" i="18"/>
  <c r="AO49" i="18"/>
  <c r="AO73" i="18"/>
  <c r="AI74" i="18"/>
  <c r="X45" i="18"/>
  <c r="W50" i="18"/>
  <c r="W55" i="18"/>
  <c r="W59" i="18"/>
  <c r="W47" i="18"/>
  <c r="W57" i="18"/>
  <c r="W68" i="18"/>
  <c r="W65" i="18"/>
  <c r="W69" i="18"/>
  <c r="W72" i="18"/>
  <c r="W67" i="18"/>
  <c r="W73" i="18"/>
  <c r="W51" i="18"/>
  <c r="W46" i="18"/>
  <c r="W58" i="18"/>
  <c r="W60" i="18"/>
  <c r="W71" i="18"/>
  <c r="W70" i="18"/>
  <c r="W74" i="18"/>
  <c r="W48" i="18"/>
  <c r="W56" i="18"/>
  <c r="W62" i="18"/>
  <c r="W53" i="18"/>
  <c r="W52" i="18"/>
  <c r="W63" i="18"/>
  <c r="W64" i="18"/>
  <c r="W49" i="18"/>
  <c r="W66" i="18"/>
  <c r="W54" i="18"/>
  <c r="W61" i="18"/>
  <c r="P50" i="18"/>
  <c r="Q50" i="18" s="1"/>
  <c r="P49" i="18"/>
  <c r="Q49" i="18" s="1"/>
  <c r="AP59" i="18" l="1"/>
  <c r="X49" i="18"/>
  <c r="X53" i="18"/>
  <c r="X74" i="18"/>
  <c r="X67" i="18"/>
  <c r="X68" i="18"/>
  <c r="X55" i="18"/>
  <c r="X64" i="18"/>
  <c r="X62" i="18"/>
  <c r="X70" i="18"/>
  <c r="X46" i="18"/>
  <c r="X72" i="18"/>
  <c r="X57" i="18"/>
  <c r="X50" i="18"/>
  <c r="X75" i="18"/>
  <c r="X63" i="18"/>
  <c r="X56" i="18"/>
  <c r="X71" i="18"/>
  <c r="X51" i="18"/>
  <c r="X69" i="18"/>
  <c r="X47" i="18"/>
  <c r="X58" i="18"/>
  <c r="X52" i="18"/>
  <c r="X48" i="18"/>
  <c r="X60" i="18"/>
  <c r="X73" i="18"/>
  <c r="X65" i="18"/>
  <c r="X59" i="18"/>
  <c r="AP53" i="18"/>
  <c r="BH55" i="18"/>
  <c r="BB74" i="18"/>
  <c r="BB60" i="18"/>
  <c r="BH70" i="18"/>
  <c r="BB48" i="18"/>
  <c r="BH75" i="18"/>
  <c r="BB70" i="18"/>
  <c r="BB72" i="18"/>
  <c r="BH65" i="18"/>
  <c r="BH72" i="18"/>
  <c r="BH57" i="18"/>
  <c r="BB73" i="18"/>
  <c r="BH71" i="18"/>
  <c r="BB49" i="18"/>
  <c r="BH73" i="18"/>
  <c r="BB53" i="18"/>
  <c r="BB68" i="18"/>
  <c r="BH49" i="18"/>
  <c r="BB46" i="18"/>
  <c r="BH64" i="18"/>
  <c r="BH45" i="18"/>
  <c r="BB65" i="18"/>
  <c r="BH68" i="18"/>
  <c r="BH56" i="18"/>
  <c r="BH74" i="18"/>
  <c r="BB71" i="18"/>
  <c r="BH62" i="18"/>
  <c r="BH47" i="18"/>
  <c r="BH67" i="18"/>
  <c r="BB54" i="18"/>
  <c r="BB58" i="18"/>
  <c r="BB62" i="18"/>
  <c r="BH59" i="18"/>
  <c r="BH51" i="18"/>
  <c r="BH61" i="18"/>
  <c r="BH52" i="18"/>
  <c r="BH48" i="18"/>
  <c r="BB50" i="18"/>
  <c r="BH63" i="18"/>
  <c r="BH66" i="18"/>
  <c r="BH54" i="18"/>
  <c r="BZ72" i="18"/>
  <c r="BZ56" i="18"/>
  <c r="BZ63" i="18"/>
  <c r="BZ69" i="18"/>
  <c r="BZ46" i="18"/>
  <c r="BZ58" i="18"/>
  <c r="BZ75" i="18"/>
  <c r="BZ61" i="18"/>
  <c r="BZ67" i="18"/>
  <c r="BZ54" i="18"/>
  <c r="BZ57" i="18"/>
  <c r="BZ47" i="18"/>
  <c r="BZ73" i="18"/>
  <c r="BZ52" i="18"/>
  <c r="BZ59" i="18"/>
  <c r="BZ65" i="18"/>
  <c r="BZ64" i="18"/>
  <c r="BZ62" i="18"/>
  <c r="BZ74" i="18"/>
  <c r="BZ49" i="18"/>
  <c r="BZ70" i="18"/>
  <c r="BZ55" i="18"/>
  <c r="BZ60" i="18"/>
  <c r="BZ53" i="18"/>
  <c r="BZ48" i="18"/>
  <c r="BZ50" i="18"/>
  <c r="BZ71" i="18"/>
  <c r="BZ66" i="18"/>
  <c r="BZ68" i="18"/>
  <c r="BZ51" i="18"/>
  <c r="R50" i="18"/>
  <c r="AP64" i="18"/>
  <c r="AP56" i="18"/>
  <c r="AP67" i="18"/>
  <c r="AP70" i="18"/>
  <c r="AP48" i="18"/>
  <c r="AP69" i="18"/>
  <c r="AP47" i="18"/>
  <c r="AP66" i="18"/>
  <c r="AP55" i="18"/>
  <c r="AP49" i="18"/>
  <c r="AP58" i="18"/>
  <c r="AP46" i="18"/>
  <c r="AP61" i="18"/>
  <c r="AP71" i="18"/>
  <c r="AP74" i="18"/>
  <c r="AP65" i="18"/>
  <c r="AP51" i="18"/>
  <c r="AP73" i="18"/>
  <c r="AP75" i="18"/>
  <c r="AP52" i="18"/>
  <c r="AP50" i="18"/>
  <c r="AP72" i="18"/>
  <c r="AP60" i="18"/>
  <c r="AJ59" i="18"/>
  <c r="AJ67" i="18"/>
  <c r="AJ74" i="18"/>
  <c r="AJ60" i="18"/>
  <c r="AJ63" i="18"/>
  <c r="AJ56" i="18"/>
  <c r="AJ49" i="18"/>
  <c r="AJ75" i="18"/>
  <c r="AJ51" i="18"/>
  <c r="AJ68" i="18"/>
  <c r="AJ55" i="18"/>
  <c r="AJ57" i="18"/>
  <c r="AJ69" i="18"/>
  <c r="AJ52" i="18"/>
  <c r="AJ46" i="18"/>
  <c r="AJ73" i="18"/>
  <c r="AJ71" i="18"/>
  <c r="AJ48" i="18"/>
  <c r="AJ66" i="18"/>
  <c r="AJ58" i="18"/>
  <c r="AJ61" i="18"/>
  <c r="AJ64" i="18"/>
  <c r="AJ54" i="18"/>
  <c r="AJ70" i="18"/>
  <c r="AJ65" i="18"/>
  <c r="AJ62" i="18"/>
  <c r="AJ72" i="18"/>
  <c r="X54" i="18"/>
  <c r="X61" i="18"/>
  <c r="X66" i="18"/>
  <c r="R74" i="18"/>
  <c r="R70" i="18"/>
  <c r="R54" i="18"/>
  <c r="R64" i="18"/>
  <c r="R63" i="18"/>
  <c r="R47" i="18"/>
  <c r="R62" i="18"/>
  <c r="R46" i="18"/>
  <c r="R61" i="18"/>
  <c r="R72" i="18"/>
  <c r="R56" i="18"/>
  <c r="R71" i="18"/>
  <c r="R55" i="18"/>
  <c r="R58" i="18"/>
  <c r="R73" i="18"/>
  <c r="R57" i="18"/>
  <c r="R68" i="18"/>
  <c r="R52" i="18"/>
  <c r="R67" i="18"/>
  <c r="R51" i="18"/>
  <c r="R48" i="18"/>
  <c r="R66" i="18"/>
  <c r="R65" i="18"/>
  <c r="R49" i="18"/>
  <c r="R60" i="18"/>
  <c r="I9" i="5" l="1"/>
  <c r="I7" i="5"/>
  <c r="I6" i="5"/>
  <c r="I5" i="5"/>
  <c r="D104" i="5" l="1"/>
  <c r="E104" i="5"/>
  <c r="C104" i="5"/>
  <c r="E21" i="1" s="1"/>
  <c r="D87" i="5"/>
  <c r="E87" i="5"/>
  <c r="C87" i="5"/>
  <c r="E20" i="1" s="1"/>
  <c r="D72" i="5"/>
  <c r="E72" i="5"/>
  <c r="C72" i="5"/>
  <c r="E19" i="1" s="1"/>
  <c r="D54" i="5"/>
  <c r="E54" i="5"/>
  <c r="C54" i="5"/>
  <c r="E18" i="1" s="1"/>
  <c r="D38" i="5"/>
  <c r="E38" i="5"/>
  <c r="C38" i="5"/>
  <c r="E17" i="1" s="1"/>
  <c r="D15" i="5"/>
  <c r="E15" i="5"/>
  <c r="C15" i="5"/>
  <c r="E16" i="1" s="1"/>
  <c r="E57" i="1" l="1"/>
  <c r="E31" i="1"/>
  <c r="E56" i="1"/>
  <c r="E30" i="1"/>
  <c r="E55" i="1"/>
  <c r="E29" i="1"/>
  <c r="E58" i="1"/>
  <c r="E32" i="1"/>
  <c r="E59" i="1"/>
  <c r="E33" i="1"/>
  <c r="E37" i="1" l="1"/>
  <c r="E38" i="1" s="1"/>
  <c r="F33" i="1"/>
  <c r="F59" i="1"/>
  <c r="F32" i="1"/>
  <c r="F58" i="1"/>
  <c r="F56" i="1"/>
  <c r="D6" i="21"/>
  <c r="F29" i="1"/>
  <c r="E6" i="21"/>
  <c r="F30" i="1"/>
  <c r="F31" i="1"/>
  <c r="E63" i="1"/>
  <c r="E64" i="1" s="1"/>
  <c r="F55" i="1"/>
  <c r="F57" i="1"/>
  <c r="D106" i="5"/>
  <c r="E106" i="5"/>
  <c r="C106" i="5"/>
  <c r="D89" i="5"/>
  <c r="E89" i="5"/>
  <c r="C89" i="5"/>
  <c r="D74" i="5"/>
  <c r="E74" i="5"/>
  <c r="C74" i="5"/>
  <c r="D56" i="5"/>
  <c r="E56" i="5"/>
  <c r="C56" i="5"/>
  <c r="D40" i="5"/>
  <c r="E40" i="5"/>
  <c r="C40" i="5"/>
  <c r="D17" i="5"/>
  <c r="E17" i="5"/>
  <c r="C17" i="5"/>
  <c r="F111" i="5"/>
  <c r="F5" i="21" l="1"/>
  <c r="F37" i="1"/>
  <c r="E5" i="21"/>
  <c r="F6" i="21"/>
  <c r="H6" i="21"/>
  <c r="G6" i="21"/>
  <c r="H5" i="21"/>
  <c r="E102" i="18"/>
  <c r="F102" i="18"/>
  <c r="AU42" i="18" s="1"/>
  <c r="D5" i="21"/>
  <c r="G101" i="18"/>
  <c r="H9" i="21" s="1"/>
  <c r="F63" i="1"/>
  <c r="F10" i="21" l="1"/>
  <c r="AA42" i="18"/>
  <c r="C102" i="18"/>
  <c r="C103" i="18"/>
  <c r="D11" i="21" s="1"/>
  <c r="F103" i="18"/>
  <c r="G11" i="21" s="1"/>
  <c r="F101" i="18"/>
  <c r="G10" i="21"/>
  <c r="G5" i="21"/>
  <c r="F99" i="18"/>
  <c r="G7" i="21" s="1"/>
  <c r="G99" i="18"/>
  <c r="H7" i="21" s="1"/>
  <c r="D99" i="18"/>
  <c r="E7" i="21" s="1"/>
  <c r="E99" i="18"/>
  <c r="F7" i="21" s="1"/>
  <c r="D101" i="18"/>
  <c r="D103" i="18"/>
  <c r="E11" i="21" s="1"/>
  <c r="G102" i="18"/>
  <c r="H10" i="21" s="1"/>
  <c r="D102" i="18"/>
  <c r="D9" i="21"/>
  <c r="C100" i="18" l="1"/>
  <c r="F42" i="18"/>
  <c r="G50" i="18" s="1"/>
  <c r="E10" i="21"/>
  <c r="M42" i="18"/>
  <c r="M51" i="18" s="1"/>
  <c r="U42" i="18"/>
  <c r="P42" i="18"/>
  <c r="S45" i="18" s="1"/>
  <c r="D10" i="21"/>
  <c r="D7" i="21"/>
  <c r="E9" i="21"/>
  <c r="AW49" i="18"/>
  <c r="AW53" i="18"/>
  <c r="AW50" i="18"/>
  <c r="AW45" i="18"/>
  <c r="AW60" i="18"/>
  <c r="G9" i="21"/>
  <c r="F100" i="18"/>
  <c r="G8" i="21" s="1"/>
  <c r="AY42" i="18"/>
  <c r="BC57" i="18" s="1"/>
  <c r="BE42" i="18"/>
  <c r="BM42" i="18"/>
  <c r="BO59" i="18" s="1"/>
  <c r="BQ42" i="18"/>
  <c r="BW42" i="18"/>
  <c r="AE52" i="18"/>
  <c r="AW75" i="18"/>
  <c r="AW74" i="18"/>
  <c r="AW73" i="18"/>
  <c r="AW72" i="18"/>
  <c r="AW71" i="18"/>
  <c r="AW70" i="18"/>
  <c r="AW69" i="18"/>
  <c r="AW68" i="18"/>
  <c r="AW67" i="18"/>
  <c r="AW66" i="18"/>
  <c r="AW65" i="18"/>
  <c r="AW64" i="18"/>
  <c r="AW63" i="18"/>
  <c r="AW62" i="18"/>
  <c r="AW61" i="18"/>
  <c r="AW59" i="18"/>
  <c r="AW58" i="18"/>
  <c r="AW57" i="18"/>
  <c r="AW56" i="18"/>
  <c r="AW55" i="18"/>
  <c r="AW54" i="18"/>
  <c r="AW52" i="18"/>
  <c r="AW51" i="18"/>
  <c r="AW48" i="18"/>
  <c r="AW47" i="18"/>
  <c r="AW46" i="18"/>
  <c r="E103" i="18"/>
  <c r="F11" i="21" s="1"/>
  <c r="G103" i="18"/>
  <c r="H11" i="21" s="1"/>
  <c r="G100" i="18"/>
  <c r="H8" i="21" s="1"/>
  <c r="E101" i="18"/>
  <c r="F9" i="21" s="1"/>
  <c r="D8" i="21"/>
  <c r="D100" i="18"/>
  <c r="E8" i="21" s="1"/>
  <c r="G45" i="18" l="1"/>
  <c r="S51" i="18"/>
  <c r="Y45" i="18"/>
  <c r="Y68" i="18"/>
  <c r="Y49" i="18"/>
  <c r="Y51" i="18"/>
  <c r="Y56" i="18"/>
  <c r="Y50" i="18"/>
  <c r="Y74" i="18"/>
  <c r="Y63" i="18"/>
  <c r="Y70" i="18"/>
  <c r="Y58" i="18"/>
  <c r="Y47" i="18"/>
  <c r="Y62" i="18"/>
  <c r="Y75" i="18"/>
  <c r="Y52" i="18"/>
  <c r="Y69" i="18"/>
  <c r="Y72" i="18"/>
  <c r="Y59" i="18"/>
  <c r="Y46" i="18"/>
  <c r="Y67" i="18"/>
  <c r="Y54" i="18"/>
  <c r="Y66" i="18"/>
  <c r="Y64" i="18"/>
  <c r="Y61" i="18"/>
  <c r="Y53" i="18"/>
  <c r="Y57" i="18"/>
  <c r="Y48" i="18"/>
  <c r="Y71" i="18"/>
  <c r="Y73" i="18"/>
  <c r="Y60" i="18"/>
  <c r="Y55" i="18"/>
  <c r="Y65" i="18"/>
  <c r="M55" i="18"/>
  <c r="M73" i="18"/>
  <c r="M59" i="18"/>
  <c r="M47" i="18"/>
  <c r="M74" i="18"/>
  <c r="M66" i="18"/>
  <c r="M70" i="18"/>
  <c r="M62" i="18"/>
  <c r="M69" i="18"/>
  <c r="M58" i="18"/>
  <c r="M65" i="18"/>
  <c r="M54" i="18"/>
  <c r="M61" i="18"/>
  <c r="M50" i="18"/>
  <c r="M57" i="18"/>
  <c r="M45" i="18"/>
  <c r="M53" i="18"/>
  <c r="M46" i="18"/>
  <c r="M49" i="18"/>
  <c r="M68" i="18"/>
  <c r="M72" i="18"/>
  <c r="M64" i="18"/>
  <c r="M60" i="18"/>
  <c r="M56" i="18"/>
  <c r="M48" i="18"/>
  <c r="M52" i="18"/>
  <c r="M75" i="18"/>
  <c r="M71" i="18"/>
  <c r="M67" i="18"/>
  <c r="M63" i="18"/>
  <c r="BO58" i="18"/>
  <c r="BO49" i="18"/>
  <c r="BO52" i="18"/>
  <c r="BI61" i="18"/>
  <c r="BI45" i="18"/>
  <c r="BO65" i="18"/>
  <c r="BO63" i="18"/>
  <c r="BO72" i="18"/>
  <c r="S48" i="18"/>
  <c r="S75" i="18"/>
  <c r="G72" i="18"/>
  <c r="G68" i="18"/>
  <c r="G64" i="18"/>
  <c r="G71" i="18"/>
  <c r="G55" i="18"/>
  <c r="G70" i="18"/>
  <c r="G54" i="18"/>
  <c r="G69" i="18"/>
  <c r="G53" i="18"/>
  <c r="G75" i="18"/>
  <c r="G59" i="18"/>
  <c r="G74" i="18"/>
  <c r="G58" i="18"/>
  <c r="G73" i="18"/>
  <c r="G57" i="18"/>
  <c r="G60" i="18"/>
  <c r="G56" i="18"/>
  <c r="G67" i="18"/>
  <c r="G51" i="18"/>
  <c r="G66" i="18"/>
  <c r="G65" i="18"/>
  <c r="G49" i="18"/>
  <c r="G52" i="18"/>
  <c r="G48" i="18"/>
  <c r="G63" i="18"/>
  <c r="G47" i="18"/>
  <c r="G62" i="18"/>
  <c r="G46" i="18"/>
  <c r="G61" i="18"/>
  <c r="BO66" i="18"/>
  <c r="BO69" i="18"/>
  <c r="BO53" i="18"/>
  <c r="BO46" i="18"/>
  <c r="BO56" i="18"/>
  <c r="BO67" i="18"/>
  <c r="BO47" i="18"/>
  <c r="BO50" i="18"/>
  <c r="BO61" i="18"/>
  <c r="BO62" i="18"/>
  <c r="BO68" i="18"/>
  <c r="BO48" i="18"/>
  <c r="BO55" i="18"/>
  <c r="BO70" i="18"/>
  <c r="BO73" i="18"/>
  <c r="BO57" i="18"/>
  <c r="BO54" i="18"/>
  <c r="BO64" i="18"/>
  <c r="BO71" i="18"/>
  <c r="BO51" i="18"/>
  <c r="BO74" i="18"/>
  <c r="BO45" i="18"/>
  <c r="BO60" i="18"/>
  <c r="BO75" i="18"/>
  <c r="AE45" i="18"/>
  <c r="AS79" i="18"/>
  <c r="F107" i="18" s="1"/>
  <c r="AE55" i="18"/>
  <c r="AE49" i="18"/>
  <c r="AE73" i="18"/>
  <c r="AE63" i="18"/>
  <c r="AE51" i="18"/>
  <c r="AE53" i="18"/>
  <c r="AE74" i="18"/>
  <c r="AE62" i="18"/>
  <c r="AE64" i="18"/>
  <c r="AE54" i="18"/>
  <c r="AE60" i="18"/>
  <c r="AE61" i="18"/>
  <c r="AE71" i="18"/>
  <c r="AE57" i="18"/>
  <c r="AE50" i="18"/>
  <c r="AM42" i="18"/>
  <c r="AG42" i="18"/>
  <c r="AE67" i="18"/>
  <c r="AE48" i="18"/>
  <c r="AE59" i="18"/>
  <c r="AE47" i="18"/>
  <c r="AE72" i="18"/>
  <c r="AE70" i="18"/>
  <c r="AE68" i="18"/>
  <c r="AE66" i="18"/>
  <c r="AE69" i="18"/>
  <c r="AE58" i="18"/>
  <c r="AE65" i="18"/>
  <c r="AE46" i="18"/>
  <c r="AE56" i="18"/>
  <c r="AE75" i="18"/>
  <c r="CA54" i="18"/>
  <c r="CA70" i="18"/>
  <c r="CA60" i="18"/>
  <c r="CA51" i="18"/>
  <c r="CA67" i="18"/>
  <c r="CA64" i="18"/>
  <c r="CA57" i="18"/>
  <c r="CA73" i="18"/>
  <c r="CA47" i="18"/>
  <c r="CA53" i="18"/>
  <c r="CA58" i="18"/>
  <c r="CA74" i="18"/>
  <c r="CA68" i="18"/>
  <c r="CA55" i="18"/>
  <c r="CA71" i="18"/>
  <c r="CA72" i="18"/>
  <c r="CA49" i="18"/>
  <c r="CA52" i="18"/>
  <c r="CA69" i="18"/>
  <c r="CA46" i="18"/>
  <c r="CA62" i="18"/>
  <c r="CA48" i="18"/>
  <c r="CA45" i="18"/>
  <c r="CA59" i="18"/>
  <c r="CA75" i="18"/>
  <c r="CA61" i="18"/>
  <c r="CA65" i="18"/>
  <c r="CA50" i="18"/>
  <c r="CA66" i="18"/>
  <c r="CA63" i="18"/>
  <c r="CA56" i="18"/>
  <c r="BU49" i="18"/>
  <c r="BU60" i="18"/>
  <c r="BU62" i="18"/>
  <c r="BU52" i="18"/>
  <c r="BU71" i="18"/>
  <c r="BU50" i="18"/>
  <c r="BU56" i="18"/>
  <c r="BU45" i="18"/>
  <c r="BU59" i="18"/>
  <c r="BU68" i="18"/>
  <c r="BU54" i="18"/>
  <c r="BU48" i="18"/>
  <c r="BU46" i="18"/>
  <c r="BU67" i="18"/>
  <c r="BU69" i="18"/>
  <c r="BU51" i="18"/>
  <c r="BU47" i="18"/>
  <c r="BU63" i="18"/>
  <c r="BU65" i="18"/>
  <c r="BU58" i="18"/>
  <c r="BU64" i="18"/>
  <c r="BU55" i="18"/>
  <c r="BU57" i="18"/>
  <c r="BU74" i="18"/>
  <c r="BU53" i="18"/>
  <c r="BU61" i="18"/>
  <c r="BU73" i="18"/>
  <c r="BU70" i="18"/>
  <c r="BU75" i="18"/>
  <c r="BU66" i="18"/>
  <c r="BU72" i="18"/>
  <c r="BI50" i="18"/>
  <c r="BI53" i="18"/>
  <c r="BI69" i="18"/>
  <c r="BI46" i="18"/>
  <c r="BI58" i="18"/>
  <c r="BI57" i="18"/>
  <c r="BI59" i="18"/>
  <c r="BI48" i="18"/>
  <c r="BI54" i="18"/>
  <c r="BI66" i="18"/>
  <c r="BI70" i="18"/>
  <c r="BI65" i="18"/>
  <c r="BI71" i="18"/>
  <c r="BI73" i="18"/>
  <c r="BI68" i="18"/>
  <c r="BI74" i="18"/>
  <c r="BI62" i="18"/>
  <c r="BI67" i="18"/>
  <c r="BI63" i="18"/>
  <c r="BI72" i="18"/>
  <c r="BI55" i="18"/>
  <c r="BI60" i="18"/>
  <c r="BI75" i="18"/>
  <c r="BI49" i="18"/>
  <c r="BI56" i="18"/>
  <c r="BI47" i="18"/>
  <c r="BI51" i="18"/>
  <c r="BI52" i="18"/>
  <c r="BI64" i="18"/>
  <c r="BC51" i="18"/>
  <c r="BC47" i="18"/>
  <c r="BC64" i="18"/>
  <c r="BC69" i="18"/>
  <c r="BC61" i="18"/>
  <c r="BC59" i="18"/>
  <c r="BC63" i="18"/>
  <c r="BC67" i="18"/>
  <c r="BC55" i="18"/>
  <c r="BC52" i="18"/>
  <c r="BC66" i="18"/>
  <c r="BC45" i="18"/>
  <c r="BC75" i="18"/>
  <c r="BC56" i="18"/>
  <c r="BC74" i="18"/>
  <c r="BC48" i="18"/>
  <c r="BC70" i="18"/>
  <c r="BC68" i="18"/>
  <c r="BC46" i="18"/>
  <c r="BC58" i="18"/>
  <c r="BC60" i="18"/>
  <c r="BC72" i="18"/>
  <c r="BC73" i="18"/>
  <c r="BC49" i="18"/>
  <c r="BC53" i="18"/>
  <c r="BC65" i="18"/>
  <c r="BC71" i="18"/>
  <c r="BC54" i="18"/>
  <c r="BC62" i="18"/>
  <c r="BC50" i="18"/>
  <c r="E100" i="18"/>
  <c r="F8" i="21" s="1"/>
  <c r="G15" i="21" l="1"/>
  <c r="F116" i="18"/>
  <c r="BK77" i="18"/>
  <c r="AS76" i="18"/>
  <c r="BK76" i="18"/>
  <c r="AS77" i="18"/>
  <c r="I77" i="18"/>
  <c r="AQ53" i="18"/>
  <c r="AQ48" i="18"/>
  <c r="AQ59" i="18"/>
  <c r="AQ52" i="18"/>
  <c r="AK56" i="18"/>
  <c r="AK51" i="18"/>
  <c r="I79" i="18"/>
  <c r="D107" i="18" s="1"/>
  <c r="C79" i="18"/>
  <c r="C107" i="18" s="1"/>
  <c r="C116" i="18" s="1"/>
  <c r="BK79" i="18"/>
  <c r="G107" i="18" s="1"/>
  <c r="AA79" i="18"/>
  <c r="E107" i="18" s="1"/>
  <c r="AK46" i="18"/>
  <c r="AK69" i="18"/>
  <c r="AK48" i="18"/>
  <c r="AK45" i="18"/>
  <c r="AK59" i="18"/>
  <c r="AK57" i="18"/>
  <c r="AK70" i="18"/>
  <c r="AK64" i="18"/>
  <c r="AK62" i="18"/>
  <c r="AK68" i="18"/>
  <c r="AK66" i="18"/>
  <c r="AK72" i="18"/>
  <c r="AK50" i="18"/>
  <c r="AK74" i="18"/>
  <c r="AK54" i="18"/>
  <c r="AK52" i="18"/>
  <c r="AK60" i="18"/>
  <c r="AK58" i="18"/>
  <c r="AK63" i="18"/>
  <c r="AK61" i="18"/>
  <c r="AK67" i="18"/>
  <c r="AK65" i="18"/>
  <c r="AK55" i="18"/>
  <c r="AK71" i="18"/>
  <c r="AK75" i="18"/>
  <c r="AK73" i="18"/>
  <c r="AK53" i="18"/>
  <c r="AK47" i="18"/>
  <c r="AK49" i="18"/>
  <c r="AQ45" i="18"/>
  <c r="AQ74" i="18"/>
  <c r="AQ73" i="18"/>
  <c r="AQ47" i="18"/>
  <c r="AQ67" i="18"/>
  <c r="AQ60" i="18"/>
  <c r="AQ64" i="18"/>
  <c r="AQ50" i="18"/>
  <c r="AQ68" i="18"/>
  <c r="AQ75" i="18"/>
  <c r="AQ63" i="18"/>
  <c r="AQ51" i="18"/>
  <c r="AQ46" i="18"/>
  <c r="AQ49" i="18"/>
  <c r="AQ61" i="18"/>
  <c r="AQ66" i="18"/>
  <c r="AQ69" i="18"/>
  <c r="AQ62" i="18"/>
  <c r="AQ70" i="18"/>
  <c r="AQ54" i="18"/>
  <c r="AQ56" i="18"/>
  <c r="AQ55" i="18"/>
  <c r="AQ57" i="18"/>
  <c r="AQ65" i="18"/>
  <c r="AQ72" i="18"/>
  <c r="AQ71" i="18"/>
  <c r="AQ58" i="18"/>
  <c r="H15" i="21" l="1"/>
  <c r="G116" i="18"/>
  <c r="E15" i="21"/>
  <c r="D116" i="18"/>
  <c r="F15" i="21"/>
  <c r="E116" i="18"/>
  <c r="AA76" i="18"/>
  <c r="AA77" i="18"/>
  <c r="C112" i="18"/>
  <c r="C113" i="18"/>
  <c r="D15" i="21"/>
  <c r="C110" i="18"/>
  <c r="C109" i="18"/>
  <c r="C111" i="18"/>
  <c r="C108" i="18"/>
  <c r="BK78" i="18"/>
  <c r="G106" i="18" s="1"/>
  <c r="AS78" i="18"/>
  <c r="F106" i="18" s="1"/>
  <c r="G108" i="18" l="1"/>
  <c r="G115" i="18"/>
  <c r="F108" i="18"/>
  <c r="F115" i="18"/>
  <c r="D16" i="21"/>
  <c r="F112" i="18"/>
  <c r="F110" i="18"/>
  <c r="F109" i="18"/>
  <c r="G14" i="21"/>
  <c r="F113" i="18"/>
  <c r="G16" i="21"/>
  <c r="F111" i="18"/>
  <c r="G111" i="18"/>
  <c r="G110" i="18"/>
  <c r="H16" i="21"/>
  <c r="G112" i="18"/>
  <c r="H14" i="21"/>
  <c r="G113" i="18"/>
  <c r="G109" i="18"/>
  <c r="AA78" i="18"/>
  <c r="E106" i="18" s="1"/>
  <c r="E115" i="18" s="1"/>
  <c r="F14" i="21" l="1"/>
  <c r="E113" i="18"/>
  <c r="E110" i="18"/>
  <c r="E109" i="18"/>
  <c r="E108" i="18"/>
  <c r="F16" i="21" s="1"/>
  <c r="E111" i="18"/>
  <c r="E112" i="18"/>
  <c r="C13" i="5" l="1"/>
  <c r="C16" i="1" s="1"/>
  <c r="D13" i="5"/>
  <c r="E13" i="5"/>
  <c r="C14" i="5"/>
  <c r="D16" i="1" s="1"/>
  <c r="D5" i="20" s="1"/>
  <c r="D14" i="5"/>
  <c r="D16" i="5" s="1"/>
  <c r="E14" i="5"/>
  <c r="E16" i="5" s="1"/>
  <c r="C36" i="5"/>
  <c r="C17" i="1" s="1"/>
  <c r="D36" i="5"/>
  <c r="E36" i="5"/>
  <c r="C37" i="5"/>
  <c r="D37" i="5"/>
  <c r="D39" i="5" s="1"/>
  <c r="E37" i="5"/>
  <c r="E39" i="5" s="1"/>
  <c r="C52" i="5"/>
  <c r="C18" i="1" s="1"/>
  <c r="D52" i="5"/>
  <c r="E52" i="5"/>
  <c r="C53" i="5"/>
  <c r="D53" i="5"/>
  <c r="D55" i="5" s="1"/>
  <c r="E53" i="5"/>
  <c r="E55" i="5" s="1"/>
  <c r="C70" i="5"/>
  <c r="C19" i="1" s="1"/>
  <c r="C7" i="20" s="1"/>
  <c r="D70" i="5"/>
  <c r="E70" i="5"/>
  <c r="C71" i="5"/>
  <c r="D71" i="5"/>
  <c r="D73" i="5" s="1"/>
  <c r="E71" i="5"/>
  <c r="E73" i="5" s="1"/>
  <c r="C85" i="5"/>
  <c r="C20" i="1" s="1"/>
  <c r="D85" i="5"/>
  <c r="E85" i="5"/>
  <c r="C86" i="5"/>
  <c r="D86" i="5"/>
  <c r="D88" i="5" s="1"/>
  <c r="E86" i="5"/>
  <c r="E88" i="5" s="1"/>
  <c r="C102" i="5"/>
  <c r="C21" i="1" s="1"/>
  <c r="D102" i="5"/>
  <c r="E102" i="5"/>
  <c r="C103" i="5"/>
  <c r="D103" i="5"/>
  <c r="D105" i="5" s="1"/>
  <c r="E103" i="5"/>
  <c r="E105" i="5" s="1"/>
  <c r="C50" i="1" l="1"/>
  <c r="C37" i="1"/>
  <c r="C63" i="1"/>
  <c r="C5" i="20"/>
  <c r="C6" i="20"/>
  <c r="D8" i="20"/>
  <c r="C8" i="20"/>
  <c r="C105" i="5"/>
  <c r="D21" i="1"/>
  <c r="C73" i="5"/>
  <c r="D19" i="1"/>
  <c r="D7" i="20" s="1"/>
  <c r="C39" i="5"/>
  <c r="D17" i="1"/>
  <c r="C88" i="5"/>
  <c r="D20" i="1"/>
  <c r="C55" i="5"/>
  <c r="D18" i="1"/>
  <c r="D6" i="20" s="1"/>
  <c r="C16" i="5"/>
  <c r="C36" i="1" l="1"/>
  <c r="C38" i="1"/>
  <c r="C49" i="1"/>
  <c r="C51" i="1"/>
  <c r="D75" i="1"/>
  <c r="C64" i="1"/>
  <c r="C62" i="1"/>
  <c r="C72" i="1" l="1"/>
  <c r="C73" i="1" s="1"/>
  <c r="E75" i="1" l="1"/>
  <c r="C75" i="1"/>
  <c r="D73" i="1"/>
  <c r="S74" i="18" l="1"/>
  <c r="S60" i="18"/>
  <c r="S61" i="18"/>
  <c r="S56" i="18"/>
  <c r="S59" i="18"/>
  <c r="S67" i="18"/>
  <c r="S68" i="18"/>
  <c r="S63" i="18"/>
  <c r="S62" i="18"/>
  <c r="S66" i="18"/>
  <c r="S73" i="18"/>
  <c r="S50" i="18"/>
  <c r="S54" i="18"/>
  <c r="S57" i="18"/>
  <c r="S64" i="18"/>
  <c r="S47" i="18"/>
  <c r="S72" i="18"/>
  <c r="S69" i="18"/>
  <c r="S46" i="18"/>
  <c r="S58" i="18"/>
  <c r="S52" i="18"/>
  <c r="S53" i="18"/>
  <c r="S71" i="18"/>
  <c r="S49" i="18"/>
  <c r="S55" i="18"/>
  <c r="S70" i="18"/>
  <c r="S65" i="18"/>
  <c r="I76" i="18" l="1"/>
  <c r="I78" i="18" l="1"/>
  <c r="D106" i="18" s="1"/>
  <c r="D115" i="18" l="1"/>
  <c r="I101" i="18" s="1"/>
  <c r="K103" i="18"/>
  <c r="K106" i="18"/>
  <c r="K102" i="18"/>
  <c r="K105" i="18"/>
  <c r="K101" i="18"/>
  <c r="K104" i="18"/>
  <c r="D110" i="18"/>
  <c r="C7" i="22" s="1"/>
  <c r="D7" i="22" s="1"/>
  <c r="D109" i="18"/>
  <c r="D108" i="18"/>
  <c r="D112" i="18"/>
  <c r="C9" i="22" s="1"/>
  <c r="D9" i="22" s="1"/>
  <c r="D113" i="18"/>
  <c r="C10" i="22" s="1"/>
  <c r="D10" i="22" s="1"/>
  <c r="D111" i="18"/>
  <c r="E14" i="21"/>
  <c r="C5" i="22" l="1"/>
  <c r="D5" i="22" s="1"/>
  <c r="C8" i="22"/>
  <c r="D8" i="22" s="1"/>
  <c r="C6" i="22"/>
  <c r="D6" i="22" s="1"/>
  <c r="E16" i="21"/>
</calcChain>
</file>

<file path=xl/sharedStrings.xml><?xml version="1.0" encoding="utf-8"?>
<sst xmlns="http://schemas.openxmlformats.org/spreadsheetml/2006/main" count="548" uniqueCount="268">
  <si>
    <t>Sample Depth</t>
  </si>
  <si>
    <t>Borehole</t>
  </si>
  <si>
    <t>80-90</t>
  </si>
  <si>
    <t>010</t>
  </si>
  <si>
    <t>SL</t>
  </si>
  <si>
    <t>210-220</t>
  </si>
  <si>
    <t>059</t>
  </si>
  <si>
    <t>110-120</t>
  </si>
  <si>
    <t>120-130</t>
  </si>
  <si>
    <t>140-150</t>
  </si>
  <si>
    <t>100-110</t>
  </si>
  <si>
    <t>330-340</t>
  </si>
  <si>
    <t>vfs</t>
  </si>
  <si>
    <t>180-190</t>
  </si>
  <si>
    <t>170-180</t>
  </si>
  <si>
    <t>290-300</t>
  </si>
  <si>
    <t>C</t>
  </si>
  <si>
    <t>190-200</t>
  </si>
  <si>
    <t>160-170</t>
  </si>
  <si>
    <t>SiCL</t>
  </si>
  <si>
    <t>220-230</t>
  </si>
  <si>
    <t>280-290</t>
  </si>
  <si>
    <t>250-260</t>
  </si>
  <si>
    <t>270-280</t>
  </si>
  <si>
    <t>260-270</t>
  </si>
  <si>
    <t>240-250</t>
  </si>
  <si>
    <t>230-240</t>
  </si>
  <si>
    <t>032</t>
  </si>
  <si>
    <t>SiL</t>
  </si>
  <si>
    <t>60-70</t>
  </si>
  <si>
    <t>30-40</t>
  </si>
  <si>
    <t>130-140</t>
  </si>
  <si>
    <t>420-430</t>
  </si>
  <si>
    <t>20-30</t>
  </si>
  <si>
    <t>50-60</t>
  </si>
  <si>
    <t>10-20</t>
  </si>
  <si>
    <t>40-50</t>
  </si>
  <si>
    <t>320-330</t>
  </si>
  <si>
    <t>580-590</t>
  </si>
  <si>
    <t>310-320</t>
  </si>
  <si>
    <t>300-310</t>
  </si>
  <si>
    <t>1330-1340</t>
  </si>
  <si>
    <t>510-520</t>
  </si>
  <si>
    <t>460-470</t>
  </si>
  <si>
    <t>470-480</t>
  </si>
  <si>
    <t>430-440</t>
  </si>
  <si>
    <t>70-80</t>
  </si>
  <si>
    <t>200-210</t>
  </si>
  <si>
    <t>650-660</t>
  </si>
  <si>
    <t>Volume (m^3)</t>
  </si>
  <si>
    <t>Channels (m^3)</t>
  </si>
  <si>
    <t>Splay W/O Channels (m^3)</t>
  </si>
  <si>
    <t>TOTAL</t>
  </si>
  <si>
    <t>CHANNELS ONLY</t>
  </si>
  <si>
    <t>SPLAY W/O CHANNELS</t>
  </si>
  <si>
    <t>Average</t>
  </si>
  <si>
    <t>STDev</t>
  </si>
  <si>
    <t>STErr</t>
  </si>
  <si>
    <t>SiC</t>
  </si>
  <si>
    <t>770-780</t>
  </si>
  <si>
    <t>680-690</t>
  </si>
  <si>
    <t>730-740</t>
  </si>
  <si>
    <t xml:space="preserve"> -2σ</t>
  </si>
  <si>
    <t xml:space="preserve"> +2σ</t>
  </si>
  <si>
    <t xml:space="preserve">mean sand </t>
  </si>
  <si>
    <t>TABLE 1: sand fraction of texture classifications</t>
  </si>
  <si>
    <t>TABLE 2: sand fraction of splay elements</t>
  </si>
  <si>
    <t>TABLE 3: sand fraction of total splay</t>
  </si>
  <si>
    <t>mean</t>
  </si>
  <si>
    <t>water density (kg/m^3)</t>
  </si>
  <si>
    <t>kinematic viscosity of water (m^2/s)</t>
  </si>
  <si>
    <t>grain diameter (m)</t>
  </si>
  <si>
    <t>τ* - assessed from Shield's diagram</t>
  </si>
  <si>
    <t>τ_crit, calculated from τ* from Shield's diagram</t>
  </si>
  <si>
    <t>quartz density (kg/m^3)</t>
  </si>
  <si>
    <t>acceleration of gravity (m/s^2)</t>
  </si>
  <si>
    <t>T*</t>
  </si>
  <si>
    <t>z_a parameters</t>
  </si>
  <si>
    <t>A1</t>
  </si>
  <si>
    <t>transport layer thickness z_a (m)</t>
  </si>
  <si>
    <t>Dietrich D*</t>
  </si>
  <si>
    <t>stokes fall velocity, for comparison (m/s)</t>
  </si>
  <si>
    <t>dynamic viscosity of water (Pa*s)</t>
  </si>
  <si>
    <t>von Karman's constant</t>
  </si>
  <si>
    <t>H-Z</t>
  </si>
  <si>
    <t>Z</t>
  </si>
  <si>
    <t>sand fraction, total</t>
  </si>
  <si>
    <t>fall velocity, from W* w_s (m/s)</t>
  </si>
  <si>
    <r>
      <t xml:space="preserve">250 </t>
    </r>
    <r>
      <rPr>
        <sz val="11"/>
        <color theme="1"/>
        <rFont val="Calibri"/>
        <family val="2"/>
      </rPr>
      <t>µ</t>
    </r>
    <r>
      <rPr>
        <sz val="7.7"/>
        <color theme="1"/>
        <rFont val="Calibri"/>
        <family val="2"/>
      </rPr>
      <t>m</t>
    </r>
  </si>
  <si>
    <r>
      <t xml:space="preserve">125 </t>
    </r>
    <r>
      <rPr>
        <sz val="11"/>
        <color theme="1"/>
        <rFont val="Calibri"/>
        <family val="2"/>
      </rPr>
      <t>µ</t>
    </r>
    <r>
      <rPr>
        <sz val="7.7"/>
        <color theme="1"/>
        <rFont val="Calibri"/>
        <family val="2"/>
      </rPr>
      <t>m</t>
    </r>
  </si>
  <si>
    <t xml:space="preserve">relative concentration </t>
  </si>
  <si>
    <t>A2_250</t>
  </si>
  <si>
    <t>A2_125</t>
  </si>
  <si>
    <t>bin</t>
  </si>
  <si>
    <t>depth (m)</t>
  </si>
  <si>
    <t>Physical Constants</t>
  </si>
  <si>
    <t>Grain Parameters</t>
  </si>
  <si>
    <t>30000-40000 cms</t>
  </si>
  <si>
    <t xml:space="preserve">average sand load (metric tons/day)  </t>
  </si>
  <si>
    <t xml:space="preserve">mud load (metric tons/day) </t>
  </si>
  <si>
    <t>-</t>
  </si>
  <si>
    <t>bin discharge range (m^3/s)</t>
  </si>
  <si>
    <t>count</t>
  </si>
  <si>
    <t>Median</t>
  </si>
  <si>
    <t>Variance (sample)</t>
  </si>
  <si>
    <t>sample variance</t>
  </si>
  <si>
    <t>Sand percent in total splay</t>
  </si>
  <si>
    <t>StDev of sand percent in total splay</t>
  </si>
  <si>
    <t>Variance of sand percent in total splay</t>
  </si>
  <si>
    <t>mean sand percent</t>
  </si>
  <si>
    <t>mean sand percent in channels</t>
  </si>
  <si>
    <t>variance sand percent in channels</t>
  </si>
  <si>
    <t>StDev sand percent outside of channels</t>
  </si>
  <si>
    <t>TABLE - river conditions</t>
  </si>
  <si>
    <t>u* estimate  (m/s)</t>
  </si>
  <si>
    <t xml:space="preserve"> 2σ</t>
  </si>
  <si>
    <t>StDev</t>
  </si>
  <si>
    <t>sand%</t>
  </si>
  <si>
    <t>vfs,SL combined</t>
  </si>
  <si>
    <t>variance sand percent outside channels</t>
  </si>
  <si>
    <t>variance partition</t>
  </si>
  <si>
    <t>variance from fraction</t>
  </si>
  <si>
    <t>bins</t>
  </si>
  <si>
    <t>Bin</t>
  </si>
  <si>
    <t>More</t>
  </si>
  <si>
    <t>Frequency</t>
  </si>
  <si>
    <t>average discharge in bin (m^3/s)</t>
  </si>
  <si>
    <t>U (m/s)</t>
  </si>
  <si>
    <t>z_0 (m)</t>
  </si>
  <si>
    <t>v_i*k_i</t>
  </si>
  <si>
    <t>mud</t>
  </si>
  <si>
    <t>days spent at this bin Oct 1 1989 - Sept 30 2013</t>
  </si>
  <si>
    <t>v_i*k_i   
(m/s)</t>
  </si>
  <si>
    <t>C1  (kg/m^2)</t>
  </si>
  <si>
    <t>total water discharge during record (m^3)</t>
  </si>
  <si>
    <t>fraction of mud load</t>
  </si>
  <si>
    <t>fraction of sand load</t>
  </si>
  <si>
    <t>&lt;15000 m^3/s</t>
  </si>
  <si>
    <t>15000-20000 m^3/s</t>
  </si>
  <si>
    <t>20000-25000 m^3/s</t>
  </si>
  <si>
    <t>25000-30000 m^3/s</t>
  </si>
  <si>
    <t>&gt;30000 m^3/s</t>
  </si>
  <si>
    <r>
      <t xml:space="preserve">average concentration of  125 </t>
    </r>
    <r>
      <rPr>
        <sz val="11"/>
        <color theme="1"/>
        <rFont val="Calibri"/>
        <family val="2"/>
      </rPr>
      <t>µ</t>
    </r>
    <r>
      <rPr>
        <sz val="7.7"/>
        <color theme="1"/>
        <rFont val="Calibri"/>
        <family val="2"/>
      </rPr>
      <t xml:space="preserve">m </t>
    </r>
    <r>
      <rPr>
        <sz val="11"/>
        <color theme="1"/>
        <rFont val="Calibri"/>
        <family val="2"/>
        <scheme val="minor"/>
      </rPr>
      <t>sand carried in top 5 m, per unit width (kg/m^2)</t>
    </r>
  </si>
  <si>
    <r>
      <t xml:space="preserve">average concentration of  250 </t>
    </r>
    <r>
      <rPr>
        <sz val="11"/>
        <color theme="1"/>
        <rFont val="Calibri"/>
        <family val="2"/>
      </rPr>
      <t>µ</t>
    </r>
    <r>
      <rPr>
        <sz val="7.7"/>
        <color theme="1"/>
        <rFont val="Calibri"/>
        <family val="2"/>
      </rPr>
      <t xml:space="preserve">m </t>
    </r>
    <r>
      <rPr>
        <sz val="11"/>
        <color theme="1"/>
        <rFont val="Calibri"/>
        <family val="2"/>
        <scheme val="minor"/>
      </rPr>
      <t>sand carried in top 5 m, per unit width  (kg/m^2)</t>
    </r>
  </si>
  <si>
    <t>average sand concentration in top 5 m, per unit width  (kg/m^2)</t>
  </si>
  <si>
    <t>average mud concentration in top 5 m, per unit width  (kg/m^2)</t>
  </si>
  <si>
    <t>sand fraction of total suspended load (-)</t>
  </si>
  <si>
    <t>sand fraction, 5m, 10% reduction</t>
  </si>
  <si>
    <t>sand fraction, 5m, 20%, reduction</t>
  </si>
  <si>
    <t>sand fraction, 5m, 30% reduction</t>
  </si>
  <si>
    <t>sand fraction, 5m, 40% reduction</t>
  </si>
  <si>
    <t>sand fraction, 5m, 50% reduction</t>
  </si>
  <si>
    <t>bin 2 u*=0.08</t>
  </si>
  <si>
    <t>bin 3 u*=0.05</t>
  </si>
  <si>
    <t>bin 3 u*=0.04</t>
  </si>
  <si>
    <t>bin 3 u*=0.07</t>
  </si>
  <si>
    <t>bin 3 u*=0.08</t>
  </si>
  <si>
    <t>bin 4 u*=0.08</t>
  </si>
  <si>
    <t>bin 4 u*=0.07</t>
  </si>
  <si>
    <t>bin 4 u*=0.10</t>
  </si>
  <si>
    <t>bin 4 u*=0.11</t>
  </si>
  <si>
    <t>bin 4 u*=0.12</t>
  </si>
  <si>
    <t>bin 4 u*=0.13</t>
  </si>
  <si>
    <t>bin 4 u*=0.14</t>
  </si>
  <si>
    <t>bin 5 u*=0.08</t>
  </si>
  <si>
    <t>bin 5 u*=0.07</t>
  </si>
  <si>
    <t>bin 5 u*=0.10</t>
  </si>
  <si>
    <t>bin 5 u*=0.11</t>
  </si>
  <si>
    <t>bin 5 u*=0.12</t>
  </si>
  <si>
    <t>bin 5 u*=0.13</t>
  </si>
  <si>
    <t>bin 5 u*=0.14</t>
  </si>
  <si>
    <t>125 to 250 micron sand ratio = 25/75</t>
  </si>
  <si>
    <t>125 to 250 micron sand ratio = 50/50</t>
  </si>
  <si>
    <t>test scenario</t>
  </si>
  <si>
    <t>bin 2 u*=0.05</t>
  </si>
  <si>
    <t>bin 2 u*=0.04</t>
  </si>
  <si>
    <t>bin 2 u*=0.07</t>
  </si>
  <si>
    <t>Silt Loam (SiL)</t>
  </si>
  <si>
    <t>Silty Clay Loam (SiCL)</t>
  </si>
  <si>
    <t xml:space="preserve">Silty Clay (SiC), and Clay (C) </t>
  </si>
  <si>
    <t>average mud concentration per unit width, top 5 m (kg/m^2)</t>
  </si>
  <si>
    <t>average sand concentration per unit width, top 5 m (kg/m^2)</t>
  </si>
  <si>
    <t>average sand fraction (S_i), top 5 m (-)</t>
  </si>
  <si>
    <t>River Inputs</t>
  </si>
  <si>
    <t>Hydraulic Parameters</t>
  </si>
  <si>
    <t>Calculated Sand Fraction, top 5 m</t>
  </si>
  <si>
    <t>Top 5 m</t>
  </si>
  <si>
    <t>u* (m/s)  (from Nittrouer EA 2011 and RamirezEA 2013)</t>
  </si>
  <si>
    <t>bed stress (Pa)</t>
  </si>
  <si>
    <t>SPLAY TOTAL</t>
  </si>
  <si>
    <t>N</t>
  </si>
  <si>
    <t>fraction</t>
  </si>
  <si>
    <t>average concentration in top 4 m</t>
  </si>
  <si>
    <t>average concentration in top 3 m</t>
  </si>
  <si>
    <t>average concentration in top 6 m</t>
  </si>
  <si>
    <t>average concentration in top 7 m</t>
  </si>
  <si>
    <t>average concentration in top 10 m</t>
  </si>
  <si>
    <t>Sand Fraction in splay (Sd)</t>
  </si>
  <si>
    <t>BASE CASE</t>
  </si>
  <si>
    <t>channel, non channel volumes ==&gt;  0.1562, 0.8438 (base case)</t>
  </si>
  <si>
    <t>channel, non channel volumes ==&gt;  0.1250, 0.8750</t>
  </si>
  <si>
    <t>channel, non channel volumes ==&gt;  0.1000, 0.9000</t>
  </si>
  <si>
    <t>channel, non channel volumes ==&gt;  0.1750, 0.8250</t>
  </si>
  <si>
    <t>channel, non channel volumes ==&gt;  0.2000, 0.8000</t>
  </si>
  <si>
    <t>channel, non channel volumes ==&gt;  0.3000, 0.7000</t>
  </si>
  <si>
    <t>channel, non channel volumes ==&gt;  0.4000, 0.8000</t>
  </si>
  <si>
    <t>vfs, fs</t>
  </si>
  <si>
    <t>total</t>
  </si>
  <si>
    <t>Very Fine Sand (vfS), and Sand Loam (SL)</t>
  </si>
  <si>
    <t>SRE</t>
  </si>
  <si>
    <r>
      <t>Yearly averaged input sand fraction (S</t>
    </r>
    <r>
      <rPr>
        <vertAlign val="subscript"/>
        <sz val="11"/>
        <color theme="1"/>
        <rFont val="Calibri"/>
        <family val="2"/>
        <scheme val="minor"/>
      </rPr>
      <t>i</t>
    </r>
    <r>
      <rPr>
        <sz val="11"/>
        <color theme="1"/>
        <rFont val="Calibri"/>
        <family val="2"/>
        <scheme val="minor"/>
      </rPr>
      <t>)</t>
    </r>
  </si>
  <si>
    <t>assuming modern mud loads are reduced by 10% from paleo condition</t>
  </si>
  <si>
    <t>20% reduction</t>
  </si>
  <si>
    <t>30% reduction</t>
  </si>
  <si>
    <t>40% reduction</t>
  </si>
  <si>
    <t>50% reduction</t>
  </si>
  <si>
    <t>using modern sediment loads</t>
  </si>
  <si>
    <t>Sediment Texture Class</t>
  </si>
  <si>
    <t>mean sand fraction</t>
  </si>
  <si>
    <t xml:space="preserve"> 2σ error</t>
  </si>
  <si>
    <t>n</t>
  </si>
  <si>
    <t>max sand</t>
  </si>
  <si>
    <t>min sand</t>
  </si>
  <si>
    <t>texture fraction, channel</t>
  </si>
  <si>
    <t>texture fraction, non-channel</t>
  </si>
  <si>
    <t>Sediment Input Condition</t>
  </si>
  <si>
    <r>
      <t xml:space="preserve">% silt
 (2-63 </t>
    </r>
    <r>
      <rPr>
        <b/>
        <sz val="11"/>
        <color theme="1"/>
        <rFont val="Calibri"/>
        <family val="2"/>
      </rPr>
      <t>µ</t>
    </r>
    <r>
      <rPr>
        <b/>
        <sz val="11"/>
        <color theme="1"/>
        <rFont val="Calibri"/>
        <family val="2"/>
        <scheme val="minor"/>
      </rPr>
      <t>m)</t>
    </r>
  </si>
  <si>
    <r>
      <t xml:space="preserve">% sand 
(&gt;63 </t>
    </r>
    <r>
      <rPr>
        <b/>
        <sz val="11"/>
        <color theme="1"/>
        <rFont val="Calibri"/>
        <family val="2"/>
      </rPr>
      <t>µ</t>
    </r>
    <r>
      <rPr>
        <b/>
        <sz val="11"/>
        <color theme="1"/>
        <rFont val="Calibri"/>
        <family val="2"/>
        <scheme val="minor"/>
      </rPr>
      <t>m)</t>
    </r>
  </si>
  <si>
    <r>
      <t xml:space="preserve">% clay 
(&lt; 2 </t>
    </r>
    <r>
      <rPr>
        <b/>
        <sz val="11"/>
        <color theme="1"/>
        <rFont val="Calibri"/>
        <family val="2"/>
      </rPr>
      <t>µ</t>
    </r>
    <r>
      <rPr>
        <b/>
        <sz val="11"/>
        <color theme="1"/>
        <rFont val="Calibri"/>
        <family val="2"/>
        <scheme val="minor"/>
      </rPr>
      <t>m)</t>
    </r>
  </si>
  <si>
    <t>INPUT RIVER CONDITIONS.</t>
  </si>
  <si>
    <t>125 micron</t>
  </si>
  <si>
    <t>250 micron</t>
  </si>
  <si>
    <t>Boundary Reynolds Number 
R*, 125 micron</t>
  </si>
  <si>
    <t>Boundary Reynolds Number 
R*, 250 micron</t>
  </si>
  <si>
    <t>T* = tau_bed/tau_crit</t>
  </si>
  <si>
    <r>
      <t xml:space="preserve">Rouse number 150 </t>
    </r>
    <r>
      <rPr>
        <sz val="11"/>
        <color theme="1"/>
        <rFont val="Calibri"/>
        <family val="2"/>
      </rPr>
      <t>µ</t>
    </r>
    <r>
      <rPr>
        <sz val="7.7"/>
        <color theme="1"/>
        <rFont val="Calibri"/>
        <family val="2"/>
      </rPr>
      <t>m</t>
    </r>
    <r>
      <rPr>
        <sz val="11"/>
        <color theme="1"/>
        <rFont val="Calibri"/>
        <family val="2"/>
        <scheme val="minor"/>
      </rPr>
      <t xml:space="preserve"> </t>
    </r>
  </si>
  <si>
    <r>
      <t xml:space="preserve">Rouse number 250 </t>
    </r>
    <r>
      <rPr>
        <sz val="11"/>
        <color theme="1"/>
        <rFont val="Calibri"/>
        <family val="2"/>
      </rPr>
      <t>µ</t>
    </r>
    <r>
      <rPr>
        <sz val="7.7"/>
        <color theme="1"/>
        <rFont val="Calibri"/>
        <family val="2"/>
      </rPr>
      <t>m</t>
    </r>
    <r>
      <rPr>
        <sz val="11"/>
        <color theme="1"/>
        <rFont val="Calibri"/>
        <family val="2"/>
        <scheme val="minor"/>
      </rPr>
      <t xml:space="preserve"> </t>
    </r>
  </si>
  <si>
    <t>Parameters for calculating transport layer thickness</t>
  </si>
  <si>
    <t>Yellow Highlighted cells are visually assessed from the two graphs included in this sheet.  These cells must be re-assessed if orther parameters are changed.</t>
  </si>
  <si>
    <t>fraction of average hydrograph at this discharge</t>
  </si>
  <si>
    <t>average sand suspended load, full channel (kg/s)</t>
  </si>
  <si>
    <t>average mud suspended load, full channel (kg/s)</t>
  </si>
  <si>
    <t>Total suspended sediment discharge during record (metric tons)</t>
  </si>
  <si>
    <t>SEDIMENT TRANSPORT PARAMETERS</t>
  </si>
  <si>
    <t>Dietrich W* (estimated from Fig. 7, for CSF=.7)</t>
  </si>
  <si>
    <t>Rouse Equation Right Hand Side</t>
  </si>
  <si>
    <t>relative concentration derived from Rouse equation
r_i</t>
  </si>
  <si>
    <t>average r_i n interval beginning at Z
r_i</t>
  </si>
  <si>
    <t>Concentration coeffient, k_i, such that c_i=k_i*c1.  
Mud is well mixed, so all k_i=1.</t>
  </si>
  <si>
    <t>Concentration coeffient, k_i, such that c_i=k_i*c1</t>
  </si>
  <si>
    <t>channel width integrated concentration, c_i
(kg/m^2)</t>
  </si>
  <si>
    <t>CONCENTRATION PROFILES FOR EACH SEDIMENT CLASS AND FLOW FLOW BIN</t>
  </si>
  <si>
    <t>yearly averaged sand fraction, modern loads</t>
  </si>
  <si>
    <t>yearly averaged sand fraction, paleo, assuming modern loads represent 10% mud decrease</t>
  </si>
  <si>
    <t>yearly averaged sand fraction, paleo, assuming modern loads represent 20%  mud decrease</t>
  </si>
  <si>
    <t>yearly averaged sand fraction, paleo, assuming modern loads represent 30% mud decrease</t>
  </si>
  <si>
    <t>yearly averaged sand fraction, paleo, assuming modern loads represent 40% mud decrease</t>
  </si>
  <si>
    <t>yearly averaged sand fraction, paleo, assuming modern loads represent 50% mud decrease</t>
  </si>
  <si>
    <t>INPUT SAND FRACTION (S_i) FOR A 5 METER CREVASSE</t>
  </si>
  <si>
    <t>THESE DATA APPEAR AS TABLE 2 IN THE MANUSCRIPT. THE VALUES HERE DEPEND ON CALCULATIONS IN THE Si TAB.</t>
  </si>
  <si>
    <t>RESULTS OF SENSITIVITY TESTS ON Si</t>
  </si>
  <si>
    <t>RESULTS OF SENSITIVITY TESTING ON Sd</t>
  </si>
  <si>
    <t>yearly averaged sand fraction (Si) for 5 m crevasse, modern loads</t>
  </si>
  <si>
    <t>THESE DATA APPEAR AS TABLE 1 IN THE MANUSCRIPT. THE VALUES HERE DEPEND ON CALCULATIONS IN THE Sd AND 'Sediment Samples' TABS.</t>
  </si>
  <si>
    <t>concentration*discharge*time, sand</t>
  </si>
  <si>
    <t>concentration*discharge*time, mud</t>
  </si>
  <si>
    <t>THE VALUES HERE DEPEND ON CALCULATIONS IN THE Si and Sd TABS.</t>
  </si>
  <si>
    <t>THESE CALCULATIONS ARE DISCUSSED IN SECTION 4.2.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</si>
</sst>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43" formatCode="_(* #,##0.00_);_(* \(#,##0.00\);_(* &quot;-&quot;??_);_(@_)"/>
    <numFmt numFmtId="164" formatCode="0.0000"/>
    <numFmt numFmtId="165" formatCode="0.000"/>
    <numFmt numFmtId="166" formatCode="0.000%"/>
    <numFmt numFmtId="167" formatCode="0.0"/>
    <numFmt numFmtId="168" formatCode="0.000000"/>
    <numFmt numFmtId="169" formatCode="0.E+00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1"/>
      <name val="Calibri"/>
      <family val="2"/>
    </font>
    <font>
      <sz val="7.7"/>
      <color theme="1"/>
      <name val="Calibri"/>
      <family val="2"/>
    </font>
    <font>
      <sz val="12"/>
      <color theme="1"/>
      <name val="Times New Roman"/>
      <family val="1"/>
    </font>
    <font>
      <i/>
      <sz val="11"/>
      <color theme="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b/>
      <sz val="11"/>
      <color theme="1"/>
      <name val="Calibri"/>
      <family val="2"/>
    </font>
  </fonts>
  <fills count="10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59999389629810485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34">
    <xf numFmtId="0" fontId="0" fillId="0" borderId="0" xfId="0"/>
    <xf numFmtId="0" fontId="0" fillId="0" borderId="0" xfId="0"/>
    <xf numFmtId="165" fontId="0" fillId="0" borderId="0" xfId="0" applyNumberFormat="1" applyFill="1"/>
    <xf numFmtId="165" fontId="2" fillId="0" borderId="0" xfId="0" applyNumberFormat="1" applyFont="1" applyFill="1"/>
    <xf numFmtId="0" fontId="2" fillId="0" borderId="0" xfId="0" applyFont="1" applyFill="1" applyAlignment="1">
      <alignment horizontal="center"/>
    </xf>
    <xf numFmtId="165" fontId="0" fillId="0" borderId="0" xfId="0" applyNumberFormat="1"/>
    <xf numFmtId="0" fontId="0" fillId="0" borderId="0" xfId="0" applyFill="1" applyAlignment="1">
      <alignment horizontal="center"/>
    </xf>
    <xf numFmtId="49" fontId="0" fillId="0" borderId="0" xfId="0" applyNumberFormat="1" applyFill="1" applyAlignment="1">
      <alignment horizontal="center"/>
    </xf>
    <xf numFmtId="49" fontId="2" fillId="0" borderId="0" xfId="0" applyNumberFormat="1" applyFont="1" applyAlignment="1">
      <alignment horizontal="center"/>
    </xf>
    <xf numFmtId="49" fontId="2" fillId="0" borderId="0" xfId="0" applyNumberFormat="1" applyFont="1" applyFill="1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 applyFill="1" applyAlignment="1">
      <alignment horizontal="center"/>
    </xf>
    <xf numFmtId="0" fontId="0" fillId="0" borderId="0" xfId="0" applyFill="1"/>
    <xf numFmtId="0" fontId="0" fillId="0" borderId="0" xfId="0" applyFont="1" applyFill="1" applyAlignment="1">
      <alignment horizontal="center"/>
    </xf>
    <xf numFmtId="0" fontId="0" fillId="0" borderId="4" xfId="0" applyBorder="1"/>
    <xf numFmtId="0" fontId="0" fillId="0" borderId="5" xfId="0" applyBorder="1"/>
    <xf numFmtId="165" fontId="0" fillId="0" borderId="0" xfId="0" applyNumberFormat="1" applyBorder="1"/>
    <xf numFmtId="0" fontId="0" fillId="0" borderId="0" xfId="0" applyBorder="1"/>
    <xf numFmtId="0" fontId="0" fillId="0" borderId="0" xfId="0"/>
    <xf numFmtId="0" fontId="0" fillId="0" borderId="0" xfId="0" applyBorder="1"/>
    <xf numFmtId="165" fontId="0" fillId="0" borderId="0" xfId="0" applyNumberFormat="1"/>
    <xf numFmtId="0" fontId="0" fillId="0" borderId="2" xfId="0" applyBorder="1"/>
    <xf numFmtId="0" fontId="0" fillId="0" borderId="3" xfId="0" applyBorder="1"/>
    <xf numFmtId="0" fontId="0" fillId="0" borderId="7" xfId="0" applyBorder="1"/>
    <xf numFmtId="165" fontId="0" fillId="0" borderId="0" xfId="0" applyNumberFormat="1" applyFill="1" applyAlignment="1">
      <alignment horizontal="center"/>
    </xf>
    <xf numFmtId="165" fontId="2" fillId="0" borderId="0" xfId="0" applyNumberFormat="1" applyFont="1" applyFill="1" applyAlignment="1">
      <alignment horizontal="center"/>
    </xf>
    <xf numFmtId="165" fontId="0" fillId="2" borderId="0" xfId="0" applyNumberFormat="1" applyFill="1" applyAlignment="1">
      <alignment horizontal="center"/>
    </xf>
    <xf numFmtId="0" fontId="3" fillId="0" borderId="0" xfId="0" applyFont="1" applyFill="1" applyAlignment="1">
      <alignment horizontal="center"/>
    </xf>
    <xf numFmtId="165" fontId="2" fillId="2" borderId="0" xfId="0" applyNumberFormat="1" applyFont="1" applyFill="1" applyAlignment="1">
      <alignment horizontal="center"/>
    </xf>
    <xf numFmtId="2" fontId="0" fillId="0" borderId="0" xfId="0" applyNumberFormat="1" applyBorder="1"/>
    <xf numFmtId="0" fontId="0" fillId="0" borderId="2" xfId="0" applyBorder="1" applyAlignment="1">
      <alignment horizontal="center"/>
    </xf>
    <xf numFmtId="165" fontId="0" fillId="0" borderId="4" xfId="0" applyNumberFormat="1" applyBorder="1" applyAlignment="1">
      <alignment horizontal="center"/>
    </xf>
    <xf numFmtId="165" fontId="0" fillId="0" borderId="0" xfId="0" applyNumberFormat="1" applyBorder="1" applyAlignment="1">
      <alignment horizontal="center"/>
    </xf>
    <xf numFmtId="165" fontId="0" fillId="0" borderId="5" xfId="0" applyNumberFormat="1" applyBorder="1" applyAlignment="1">
      <alignment horizontal="center"/>
    </xf>
    <xf numFmtId="165" fontId="0" fillId="0" borderId="6" xfId="0" applyNumberFormat="1" applyBorder="1" applyAlignment="1">
      <alignment horizontal="center"/>
    </xf>
    <xf numFmtId="165" fontId="0" fillId="0" borderId="7" xfId="0" applyNumberFormat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10" fontId="0" fillId="0" borderId="0" xfId="0" applyNumberFormat="1" applyBorder="1" applyAlignment="1">
      <alignment horizontal="center"/>
    </xf>
    <xf numFmtId="10" fontId="1" fillId="0" borderId="5" xfId="0" applyNumberFormat="1" applyFont="1" applyBorder="1" applyAlignment="1">
      <alignment horizontal="center"/>
    </xf>
    <xf numFmtId="165" fontId="0" fillId="3" borderId="7" xfId="0" applyNumberFormat="1" applyFill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11" fontId="0" fillId="0" borderId="0" xfId="0" applyNumberFormat="1" applyBorder="1" applyAlignment="1">
      <alignment horizontal="center"/>
    </xf>
    <xf numFmtId="164" fontId="0" fillId="0" borderId="0" xfId="0" applyNumberFormat="1" applyBorder="1" applyAlignment="1">
      <alignment horizontal="center"/>
    </xf>
    <xf numFmtId="11" fontId="0" fillId="0" borderId="2" xfId="0" applyNumberFormat="1" applyBorder="1" applyAlignment="1">
      <alignment horizontal="center"/>
    </xf>
    <xf numFmtId="11" fontId="0" fillId="0" borderId="7" xfId="0" applyNumberFormat="1" applyBorder="1" applyAlignment="1">
      <alignment horizontal="center"/>
    </xf>
    <xf numFmtId="1" fontId="0" fillId="0" borderId="0" xfId="0" applyNumberFormat="1"/>
    <xf numFmtId="0" fontId="0" fillId="2" borderId="0" xfId="0" applyFill="1"/>
    <xf numFmtId="0" fontId="0" fillId="0" borderId="8" xfId="0" applyBorder="1"/>
    <xf numFmtId="0" fontId="0" fillId="0" borderId="0" xfId="0" applyAlignment="1">
      <alignment wrapText="1"/>
    </xf>
    <xf numFmtId="10" fontId="1" fillId="0" borderId="0" xfId="0" applyNumberFormat="1" applyFont="1" applyBorder="1" applyAlignment="1">
      <alignment horizontal="center"/>
    </xf>
    <xf numFmtId="0" fontId="0" fillId="0" borderId="0" xfId="0" applyFill="1" applyBorder="1"/>
    <xf numFmtId="165" fontId="0" fillId="2" borderId="0" xfId="0" applyNumberFormat="1" applyFill="1"/>
    <xf numFmtId="165" fontId="0" fillId="0" borderId="0" xfId="0" applyNumberFormat="1" applyAlignment="1">
      <alignment horizontal="center"/>
    </xf>
    <xf numFmtId="165" fontId="1" fillId="0" borderId="0" xfId="0" applyNumberFormat="1" applyFont="1" applyAlignment="1">
      <alignment horizontal="center"/>
    </xf>
    <xf numFmtId="165" fontId="1" fillId="0" borderId="0" xfId="0" applyNumberFormat="1" applyFont="1" applyBorder="1" applyAlignment="1">
      <alignment horizontal="center"/>
    </xf>
    <xf numFmtId="165" fontId="0" fillId="0" borderId="1" xfId="0" applyNumberFormat="1" applyBorder="1" applyAlignment="1">
      <alignment horizontal="center"/>
    </xf>
    <xf numFmtId="165" fontId="0" fillId="3" borderId="4" xfId="0" applyNumberFormat="1" applyFill="1" applyBorder="1" applyAlignment="1">
      <alignment horizontal="center"/>
    </xf>
    <xf numFmtId="165" fontId="0" fillId="3" borderId="6" xfId="0" applyNumberFormat="1" applyFill="1" applyBorder="1" applyAlignment="1">
      <alignment horizontal="center"/>
    </xf>
    <xf numFmtId="165" fontId="0" fillId="0" borderId="1" xfId="0" applyNumberFormat="1" applyBorder="1" applyAlignment="1">
      <alignment horizontal="center" wrapText="1"/>
    </xf>
    <xf numFmtId="165" fontId="0" fillId="0" borderId="6" xfId="0" applyNumberFormat="1" applyBorder="1" applyAlignment="1">
      <alignment horizontal="center" wrapText="1"/>
    </xf>
    <xf numFmtId="165" fontId="0" fillId="0" borderId="0" xfId="0" applyNumberFormat="1" applyBorder="1" applyAlignment="1">
      <alignment horizontal="center" wrapText="1"/>
    </xf>
    <xf numFmtId="0" fontId="1" fillId="0" borderId="0" xfId="0" applyFont="1"/>
    <xf numFmtId="164" fontId="0" fillId="0" borderId="0" xfId="0" applyNumberFormat="1"/>
    <xf numFmtId="0" fontId="0" fillId="2" borderId="0" xfId="0" applyFill="1" applyAlignment="1">
      <alignment wrapText="1"/>
    </xf>
    <xf numFmtId="0" fontId="0" fillId="0" borderId="1" xfId="0" applyBorder="1" applyAlignment="1">
      <alignment wrapText="1"/>
    </xf>
    <xf numFmtId="0" fontId="0" fillId="0" borderId="4" xfId="0" applyBorder="1" applyAlignment="1">
      <alignment wrapText="1"/>
    </xf>
    <xf numFmtId="0" fontId="0" fillId="0" borderId="6" xfId="0" applyBorder="1" applyAlignment="1">
      <alignment wrapText="1"/>
    </xf>
    <xf numFmtId="0" fontId="0" fillId="2" borderId="2" xfId="0" applyFill="1" applyBorder="1" applyAlignment="1">
      <alignment wrapText="1"/>
    </xf>
    <xf numFmtId="0" fontId="0" fillId="0" borderId="2" xfId="0" applyBorder="1" applyAlignment="1">
      <alignment wrapText="1"/>
    </xf>
    <xf numFmtId="11" fontId="0" fillId="2" borderId="0" xfId="0" applyNumberFormat="1" applyFill="1" applyBorder="1"/>
    <xf numFmtId="11" fontId="0" fillId="2" borderId="7" xfId="0" applyNumberFormat="1" applyFill="1" applyBorder="1"/>
    <xf numFmtId="168" fontId="0" fillId="0" borderId="4" xfId="0" applyNumberFormat="1" applyBorder="1" applyAlignment="1">
      <alignment wrapText="1"/>
    </xf>
    <xf numFmtId="165" fontId="0" fillId="2" borderId="0" xfId="0" applyNumberFormat="1" applyFill="1" applyBorder="1"/>
    <xf numFmtId="165" fontId="0" fillId="0" borderId="5" xfId="0" applyNumberFormat="1" applyBorder="1"/>
    <xf numFmtId="168" fontId="0" fillId="0" borderId="6" xfId="0" applyNumberFormat="1" applyBorder="1" applyAlignment="1">
      <alignment wrapText="1"/>
    </xf>
    <xf numFmtId="165" fontId="0" fillId="0" borderId="7" xfId="0" applyNumberFormat="1" applyBorder="1"/>
    <xf numFmtId="165" fontId="0" fillId="2" borderId="7" xfId="0" applyNumberFormat="1" applyFill="1" applyBorder="1"/>
    <xf numFmtId="165" fontId="0" fillId="0" borderId="8" xfId="0" applyNumberFormat="1" applyBorder="1"/>
    <xf numFmtId="0" fontId="0" fillId="0" borderId="5" xfId="0" applyBorder="1" applyAlignment="1">
      <alignment wrapText="1"/>
    </xf>
    <xf numFmtId="11" fontId="0" fillId="0" borderId="5" xfId="0" applyNumberFormat="1" applyBorder="1" applyAlignment="1">
      <alignment wrapText="1"/>
    </xf>
    <xf numFmtId="0" fontId="0" fillId="0" borderId="0" xfId="0" applyBorder="1" applyAlignment="1">
      <alignment wrapText="1"/>
    </xf>
    <xf numFmtId="164" fontId="0" fillId="0" borderId="0" xfId="0" applyNumberFormat="1" applyBorder="1"/>
    <xf numFmtId="0" fontId="1" fillId="0" borderId="0" xfId="0" applyFont="1" applyAlignment="1">
      <alignment wrapText="1"/>
    </xf>
    <xf numFmtId="2" fontId="0" fillId="0" borderId="1" xfId="0" applyNumberFormat="1" applyBorder="1" applyAlignment="1">
      <alignment wrapText="1"/>
    </xf>
    <xf numFmtId="2" fontId="0" fillId="2" borderId="2" xfId="0" applyNumberFormat="1" applyFill="1" applyBorder="1" applyAlignment="1">
      <alignment wrapText="1"/>
    </xf>
    <xf numFmtId="2" fontId="0" fillId="0" borderId="2" xfId="0" applyNumberFormat="1" applyBorder="1" applyAlignment="1">
      <alignment wrapText="1"/>
    </xf>
    <xf numFmtId="2" fontId="0" fillId="0" borderId="3" xfId="0" applyNumberFormat="1" applyBorder="1" applyAlignment="1">
      <alignment wrapText="1"/>
    </xf>
    <xf numFmtId="0" fontId="0" fillId="0" borderId="6" xfId="0" applyFill="1" applyBorder="1" applyAlignment="1">
      <alignment wrapText="1"/>
    </xf>
    <xf numFmtId="0" fontId="1" fillId="0" borderId="0" xfId="0" applyFont="1" applyBorder="1"/>
    <xf numFmtId="0" fontId="0" fillId="0" borderId="4" xfId="0" applyFill="1" applyBorder="1" applyAlignment="1">
      <alignment wrapText="1"/>
    </xf>
    <xf numFmtId="0" fontId="6" fillId="0" borderId="0" xfId="0" applyFont="1" applyBorder="1"/>
    <xf numFmtId="0" fontId="0" fillId="4" borderId="1" xfId="0" applyFill="1" applyBorder="1" applyAlignment="1">
      <alignment wrapText="1"/>
    </xf>
    <xf numFmtId="0" fontId="0" fillId="4" borderId="4" xfId="0" applyFill="1" applyBorder="1" applyAlignment="1">
      <alignment wrapText="1"/>
    </xf>
    <xf numFmtId="14" fontId="0" fillId="5" borderId="1" xfId="0" applyNumberFormat="1" applyFill="1" applyBorder="1" applyAlignment="1">
      <alignment wrapText="1"/>
    </xf>
    <xf numFmtId="0" fontId="0" fillId="5" borderId="4" xfId="0" applyFill="1" applyBorder="1" applyAlignment="1">
      <alignment wrapText="1"/>
    </xf>
    <xf numFmtId="0" fontId="0" fillId="5" borderId="5" xfId="0" applyFill="1" applyBorder="1"/>
    <xf numFmtId="164" fontId="0" fillId="5" borderId="4" xfId="0" applyNumberFormat="1" applyFill="1" applyBorder="1"/>
    <xf numFmtId="164" fontId="0" fillId="5" borderId="0" xfId="0" applyNumberFormat="1" applyFill="1" applyBorder="1"/>
    <xf numFmtId="164" fontId="0" fillId="5" borderId="5" xfId="0" applyNumberFormat="1" applyFill="1" applyBorder="1"/>
    <xf numFmtId="0" fontId="0" fillId="5" borderId="1" xfId="0" applyFill="1" applyBorder="1" applyAlignment="1">
      <alignment wrapText="1"/>
    </xf>
    <xf numFmtId="0" fontId="0" fillId="5" borderId="6" xfId="0" applyFill="1" applyBorder="1" applyAlignment="1">
      <alignment wrapText="1"/>
    </xf>
    <xf numFmtId="164" fontId="0" fillId="5" borderId="6" xfId="0" applyNumberFormat="1" applyFill="1" applyBorder="1"/>
    <xf numFmtId="164" fontId="0" fillId="5" borderId="7" xfId="0" applyNumberFormat="1" applyFill="1" applyBorder="1"/>
    <xf numFmtId="164" fontId="0" fillId="5" borderId="8" xfId="0" applyNumberFormat="1" applyFill="1" applyBorder="1"/>
    <xf numFmtId="14" fontId="0" fillId="6" borderId="1" xfId="0" applyNumberFormat="1" applyFill="1" applyBorder="1" applyAlignment="1">
      <alignment wrapText="1"/>
    </xf>
    <xf numFmtId="0" fontId="0" fillId="6" borderId="4" xfId="0" applyFill="1" applyBorder="1" applyAlignment="1">
      <alignment wrapText="1"/>
    </xf>
    <xf numFmtId="0" fontId="0" fillId="6" borderId="5" xfId="0" applyFill="1" applyBorder="1"/>
    <xf numFmtId="164" fontId="0" fillId="6" borderId="4" xfId="0" applyNumberFormat="1" applyFill="1" applyBorder="1"/>
    <xf numFmtId="164" fontId="0" fillId="6" borderId="0" xfId="0" applyNumberFormat="1" applyFill="1" applyBorder="1"/>
    <xf numFmtId="164" fontId="0" fillId="6" borderId="5" xfId="0" applyNumberFormat="1" applyFill="1" applyBorder="1"/>
    <xf numFmtId="0" fontId="0" fillId="6" borderId="1" xfId="0" applyFill="1" applyBorder="1" applyAlignment="1">
      <alignment wrapText="1"/>
    </xf>
    <xf numFmtId="0" fontId="0" fillId="6" borderId="6" xfId="0" applyFill="1" applyBorder="1" applyAlignment="1">
      <alignment wrapText="1"/>
    </xf>
    <xf numFmtId="164" fontId="0" fillId="6" borderId="6" xfId="0" applyNumberFormat="1" applyFill="1" applyBorder="1"/>
    <xf numFmtId="164" fontId="0" fillId="6" borderId="7" xfId="0" applyNumberFormat="1" applyFill="1" applyBorder="1"/>
    <xf numFmtId="164" fontId="0" fillId="6" borderId="8" xfId="0" applyNumberFormat="1" applyFill="1" applyBorder="1"/>
    <xf numFmtId="0" fontId="0" fillId="4" borderId="6" xfId="0" applyFill="1" applyBorder="1" applyAlignment="1">
      <alignment wrapText="1"/>
    </xf>
    <xf numFmtId="14" fontId="0" fillId="8" borderId="1" xfId="0" applyNumberFormat="1" applyFill="1" applyBorder="1" applyAlignment="1">
      <alignment wrapText="1"/>
    </xf>
    <xf numFmtId="0" fontId="0" fillId="8" borderId="4" xfId="0" applyFill="1" applyBorder="1" applyAlignment="1">
      <alignment wrapText="1"/>
    </xf>
    <xf numFmtId="164" fontId="0" fillId="8" borderId="4" xfId="0" applyNumberFormat="1" applyFill="1" applyBorder="1"/>
    <xf numFmtId="164" fontId="0" fillId="8" borderId="0" xfId="0" applyNumberFormat="1" applyFill="1" applyBorder="1"/>
    <xf numFmtId="164" fontId="0" fillId="8" borderId="5" xfId="0" applyNumberFormat="1" applyFill="1" applyBorder="1"/>
    <xf numFmtId="0" fontId="0" fillId="8" borderId="1" xfId="0" applyFill="1" applyBorder="1" applyAlignment="1">
      <alignment wrapText="1"/>
    </xf>
    <xf numFmtId="0" fontId="0" fillId="8" borderId="6" xfId="0" applyFill="1" applyBorder="1" applyAlignment="1">
      <alignment wrapText="1"/>
    </xf>
    <xf numFmtId="164" fontId="0" fillId="8" borderId="6" xfId="0" applyNumberFormat="1" applyFill="1" applyBorder="1"/>
    <xf numFmtId="164" fontId="0" fillId="8" borderId="7" xfId="0" applyNumberFormat="1" applyFill="1" applyBorder="1"/>
    <xf numFmtId="164" fontId="0" fillId="8" borderId="8" xfId="0" applyNumberFormat="1" applyFill="1" applyBorder="1"/>
    <xf numFmtId="11" fontId="0" fillId="6" borderId="0" xfId="0" applyNumberFormat="1" applyFill="1" applyBorder="1"/>
    <xf numFmtId="2" fontId="0" fillId="6" borderId="0" xfId="0" applyNumberFormat="1" applyFill="1" applyBorder="1"/>
    <xf numFmtId="11" fontId="0" fillId="5" borderId="0" xfId="0" applyNumberFormat="1" applyFill="1" applyBorder="1"/>
    <xf numFmtId="2" fontId="0" fillId="5" borderId="0" xfId="0" applyNumberFormat="1" applyFill="1" applyBorder="1"/>
    <xf numFmtId="0" fontId="0" fillId="8" borderId="8" xfId="0" applyFill="1" applyBorder="1"/>
    <xf numFmtId="11" fontId="0" fillId="8" borderId="7" xfId="0" applyNumberFormat="1" applyFill="1" applyBorder="1"/>
    <xf numFmtId="2" fontId="0" fillId="8" borderId="7" xfId="0" applyNumberFormat="1" applyFill="1" applyBorder="1"/>
    <xf numFmtId="2" fontId="0" fillId="2" borderId="0" xfId="0" applyNumberFormat="1" applyFill="1" applyBorder="1" applyAlignment="1">
      <alignment wrapText="1"/>
    </xf>
    <xf numFmtId="2" fontId="0" fillId="4" borderId="5" xfId="0" applyNumberFormat="1" applyFill="1" applyBorder="1" applyAlignment="1">
      <alignment wrapText="1"/>
    </xf>
    <xf numFmtId="2" fontId="0" fillId="4" borderId="4" xfId="0" applyNumberFormat="1" applyFill="1" applyBorder="1" applyAlignment="1">
      <alignment wrapText="1"/>
    </xf>
    <xf numFmtId="2" fontId="0" fillId="4" borderId="0" xfId="0" applyNumberFormat="1" applyFill="1" applyBorder="1" applyAlignment="1">
      <alignment wrapText="1"/>
    </xf>
    <xf numFmtId="164" fontId="0" fillId="7" borderId="5" xfId="0" applyNumberFormat="1" applyFill="1" applyBorder="1"/>
    <xf numFmtId="1" fontId="0" fillId="0" borderId="0" xfId="0" applyNumberFormat="1" applyBorder="1"/>
    <xf numFmtId="0" fontId="1" fillId="0" borderId="0" xfId="0" applyFont="1" applyFill="1" applyAlignment="1">
      <alignment horizontal="center"/>
    </xf>
    <xf numFmtId="0" fontId="0" fillId="0" borderId="0" xfId="0" applyFill="1" applyAlignment="1">
      <alignment horizontal="center"/>
    </xf>
    <xf numFmtId="3" fontId="0" fillId="0" borderId="0" xfId="0" applyNumberFormat="1"/>
    <xf numFmtId="3" fontId="0" fillId="0" borderId="0" xfId="0" applyNumberFormat="1" applyFill="1" applyAlignment="1">
      <alignment horizontal="center"/>
    </xf>
    <xf numFmtId="166" fontId="0" fillId="0" borderId="0" xfId="0" applyNumberFormat="1"/>
    <xf numFmtId="0" fontId="4" fillId="0" borderId="3" xfId="0" applyFont="1" applyFill="1" applyBorder="1" applyAlignment="1">
      <alignment horizontal="center"/>
    </xf>
    <xf numFmtId="164" fontId="0" fillId="0" borderId="3" xfId="0" applyNumberFormat="1" applyBorder="1" applyAlignment="1">
      <alignment horizontal="center"/>
    </xf>
    <xf numFmtId="164" fontId="0" fillId="0" borderId="8" xfId="0" applyNumberFormat="1" applyBorder="1" applyAlignment="1">
      <alignment horizontal="center"/>
    </xf>
    <xf numFmtId="43" fontId="0" fillId="3" borderId="4" xfId="0" applyNumberFormat="1" applyFill="1" applyBorder="1" applyAlignment="1">
      <alignment horizontal="center" wrapText="1"/>
    </xf>
    <xf numFmtId="43" fontId="0" fillId="0" borderId="4" xfId="0" applyNumberFormat="1" applyBorder="1" applyAlignment="1">
      <alignment horizontal="center" wrapText="1"/>
    </xf>
    <xf numFmtId="165" fontId="0" fillId="3" borderId="2" xfId="0" applyNumberFormat="1" applyFill="1" applyBorder="1" applyAlignment="1">
      <alignment horizontal="center"/>
    </xf>
    <xf numFmtId="165" fontId="0" fillId="3" borderId="3" xfId="0" applyNumberFormat="1" applyFill="1" applyBorder="1" applyAlignment="1">
      <alignment horizontal="center"/>
    </xf>
    <xf numFmtId="165" fontId="1" fillId="3" borderId="6" xfId="0" applyNumberFormat="1" applyFont="1" applyFill="1" applyBorder="1" applyAlignment="1">
      <alignment horizontal="center" wrapText="1"/>
    </xf>
    <xf numFmtId="165" fontId="0" fillId="3" borderId="8" xfId="0" applyNumberFormat="1" applyFill="1" applyBorder="1" applyAlignment="1">
      <alignment horizontal="center"/>
    </xf>
    <xf numFmtId="165" fontId="0" fillId="3" borderId="1" xfId="0" applyNumberFormat="1" applyFill="1" applyBorder="1" applyAlignment="1">
      <alignment horizontal="center" wrapText="1"/>
    </xf>
    <xf numFmtId="43" fontId="0" fillId="0" borderId="6" xfId="0" applyNumberFormat="1" applyBorder="1" applyAlignment="1">
      <alignment horizontal="center" wrapText="1"/>
    </xf>
    <xf numFmtId="165" fontId="0" fillId="0" borderId="8" xfId="0" applyNumberFormat="1" applyBorder="1" applyAlignment="1">
      <alignment horizontal="center"/>
    </xf>
    <xf numFmtId="0" fontId="0" fillId="0" borderId="0" xfId="0" applyNumberFormat="1" applyFill="1" applyBorder="1" applyAlignment="1"/>
    <xf numFmtId="0" fontId="0" fillId="0" borderId="0" xfId="0" applyFill="1" applyBorder="1" applyAlignment="1"/>
    <xf numFmtId="0" fontId="0" fillId="0" borderId="7" xfId="0" applyFill="1" applyBorder="1" applyAlignment="1"/>
    <xf numFmtId="0" fontId="7" fillId="0" borderId="21" xfId="0" applyFont="1" applyFill="1" applyBorder="1" applyAlignment="1">
      <alignment horizontal="center"/>
    </xf>
    <xf numFmtId="0" fontId="0" fillId="4" borderId="2" xfId="0" applyFill="1" applyBorder="1" applyAlignment="1">
      <alignment wrapText="1"/>
    </xf>
    <xf numFmtId="0" fontId="0" fillId="8" borderId="2" xfId="0" applyFill="1" applyBorder="1" applyAlignment="1">
      <alignment horizontal="center" wrapText="1"/>
    </xf>
    <xf numFmtId="0" fontId="0" fillId="8" borderId="3" xfId="0" applyFill="1" applyBorder="1" applyAlignment="1">
      <alignment horizontal="center" wrapText="1"/>
    </xf>
    <xf numFmtId="0" fontId="0" fillId="5" borderId="2" xfId="0" applyFill="1" applyBorder="1" applyAlignment="1">
      <alignment wrapText="1"/>
    </xf>
    <xf numFmtId="164" fontId="0" fillId="5" borderId="3" xfId="0" applyNumberFormat="1" applyFill="1" applyBorder="1"/>
    <xf numFmtId="164" fontId="0" fillId="6" borderId="3" xfId="0" applyNumberFormat="1" applyFill="1" applyBorder="1"/>
    <xf numFmtId="0" fontId="0" fillId="6" borderId="2" xfId="0" applyFill="1" applyBorder="1" applyAlignment="1">
      <alignment wrapText="1"/>
    </xf>
    <xf numFmtId="0" fontId="0" fillId="8" borderId="2" xfId="0" applyFill="1" applyBorder="1" applyAlignment="1">
      <alignment wrapText="1"/>
    </xf>
    <xf numFmtId="164" fontId="0" fillId="0" borderId="0" xfId="0" applyNumberFormat="1" applyFill="1" applyBorder="1"/>
    <xf numFmtId="1" fontId="0" fillId="0" borderId="0" xfId="0" applyNumberFormat="1" applyFill="1"/>
    <xf numFmtId="0" fontId="0" fillId="4" borderId="9" xfId="0" applyFill="1" applyBorder="1" applyAlignment="1">
      <alignment wrapText="1"/>
    </xf>
    <xf numFmtId="0" fontId="0" fillId="5" borderId="3" xfId="0" applyFill="1" applyBorder="1" applyAlignment="1">
      <alignment wrapText="1"/>
    </xf>
    <xf numFmtId="0" fontId="0" fillId="6" borderId="3" xfId="0" applyFill="1" applyBorder="1" applyAlignment="1">
      <alignment wrapText="1"/>
    </xf>
    <xf numFmtId="0" fontId="0" fillId="8" borderId="3" xfId="0" applyFill="1" applyBorder="1" applyAlignment="1">
      <alignment wrapText="1"/>
    </xf>
    <xf numFmtId="14" fontId="0" fillId="7" borderId="1" xfId="0" applyNumberFormat="1" applyFill="1" applyBorder="1" applyAlignment="1">
      <alignment wrapText="1"/>
    </xf>
    <xf numFmtId="0" fontId="0" fillId="7" borderId="3" xfId="0" applyFill="1" applyBorder="1" applyAlignment="1">
      <alignment wrapText="1"/>
    </xf>
    <xf numFmtId="0" fontId="0" fillId="7" borderId="2" xfId="0" applyFill="1" applyBorder="1" applyAlignment="1">
      <alignment wrapText="1"/>
    </xf>
    <xf numFmtId="0" fontId="0" fillId="7" borderId="4" xfId="0" applyFill="1" applyBorder="1" applyAlignment="1">
      <alignment wrapText="1"/>
    </xf>
    <xf numFmtId="164" fontId="0" fillId="7" borderId="6" xfId="0" applyNumberFormat="1" applyFill="1" applyBorder="1"/>
    <xf numFmtId="164" fontId="0" fillId="7" borderId="8" xfId="0" applyNumberFormat="1" applyFill="1" applyBorder="1"/>
    <xf numFmtId="0" fontId="0" fillId="7" borderId="6" xfId="0" applyFill="1" applyBorder="1" applyAlignment="1">
      <alignment wrapText="1"/>
    </xf>
    <xf numFmtId="0" fontId="0" fillId="7" borderId="1" xfId="0" applyFill="1" applyBorder="1" applyAlignment="1">
      <alignment wrapText="1"/>
    </xf>
    <xf numFmtId="0" fontId="0" fillId="7" borderId="2" xfId="0" applyFill="1" applyBorder="1" applyAlignment="1">
      <alignment horizontal="center" wrapText="1"/>
    </xf>
    <xf numFmtId="164" fontId="0" fillId="7" borderId="0" xfId="0" applyNumberFormat="1" applyFill="1" applyBorder="1"/>
    <xf numFmtId="164" fontId="0" fillId="7" borderId="4" xfId="0" applyNumberFormat="1" applyFill="1" applyBorder="1"/>
    <xf numFmtId="164" fontId="0" fillId="7" borderId="7" xfId="0" applyNumberFormat="1" applyFill="1" applyBorder="1"/>
    <xf numFmtId="164" fontId="0" fillId="0" borderId="0" xfId="0" applyNumberFormat="1" applyAlignment="1">
      <alignment wrapText="1"/>
    </xf>
    <xf numFmtId="164" fontId="0" fillId="4" borderId="4" xfId="0" applyNumberFormat="1" applyFill="1" applyBorder="1" applyAlignment="1">
      <alignment wrapText="1"/>
    </xf>
    <xf numFmtId="164" fontId="0" fillId="4" borderId="10" xfId="0" applyNumberFormat="1" applyFill="1" applyBorder="1"/>
    <xf numFmtId="164" fontId="0" fillId="4" borderId="4" xfId="0" applyNumberFormat="1" applyFill="1" applyBorder="1"/>
    <xf numFmtId="164" fontId="0" fillId="4" borderId="0" xfId="0" applyNumberFormat="1" applyFill="1" applyBorder="1"/>
    <xf numFmtId="164" fontId="0" fillId="5" borderId="4" xfId="0" applyNumberFormat="1" applyFill="1" applyBorder="1" applyAlignment="1">
      <alignment wrapText="1"/>
    </xf>
    <xf numFmtId="164" fontId="0" fillId="6" borderId="4" xfId="0" applyNumberFormat="1" applyFill="1" applyBorder="1" applyAlignment="1">
      <alignment wrapText="1"/>
    </xf>
    <xf numFmtId="164" fontId="0" fillId="7" borderId="4" xfId="0" applyNumberFormat="1" applyFill="1" applyBorder="1" applyAlignment="1">
      <alignment wrapText="1"/>
    </xf>
    <xf numFmtId="164" fontId="0" fillId="7" borderId="0" xfId="0" applyNumberFormat="1" applyFill="1" applyBorder="1" applyAlignment="1">
      <alignment horizontal="center" wrapText="1"/>
    </xf>
    <xf numFmtId="164" fontId="0" fillId="8" borderId="4" xfId="0" applyNumberFormat="1" applyFill="1" applyBorder="1" applyAlignment="1">
      <alignment wrapText="1"/>
    </xf>
    <xf numFmtId="164" fontId="0" fillId="8" borderId="0" xfId="0" applyNumberFormat="1" applyFill="1" applyBorder="1" applyAlignment="1">
      <alignment horizontal="center" wrapText="1"/>
    </xf>
    <xf numFmtId="164" fontId="0" fillId="0" borderId="0" xfId="0" applyNumberFormat="1" applyFill="1"/>
    <xf numFmtId="164" fontId="0" fillId="8" borderId="5" xfId="0" applyNumberFormat="1" applyFill="1" applyBorder="1" applyAlignment="1">
      <alignment horizontal="center" wrapText="1"/>
    </xf>
    <xf numFmtId="2" fontId="0" fillId="0" borderId="4" xfId="0" applyNumberFormat="1" applyBorder="1" applyAlignment="1">
      <alignment wrapText="1"/>
    </xf>
    <xf numFmtId="0" fontId="0" fillId="4" borderId="3" xfId="0" applyFill="1" applyBorder="1" applyAlignment="1">
      <alignment horizontal="center"/>
    </xf>
    <xf numFmtId="0" fontId="0" fillId="4" borderId="5" xfId="0" applyFill="1" applyBorder="1" applyAlignment="1">
      <alignment horizontal="center"/>
    </xf>
    <xf numFmtId="164" fontId="0" fillId="4" borderId="1" xfId="0" applyNumberFormat="1" applyFill="1" applyBorder="1" applyAlignment="1">
      <alignment wrapText="1"/>
    </xf>
    <xf numFmtId="164" fontId="0" fillId="4" borderId="9" xfId="0" applyNumberFormat="1" applyFill="1" applyBorder="1"/>
    <xf numFmtId="164" fontId="0" fillId="4" borderId="1" xfId="0" applyNumberFormat="1" applyFill="1" applyBorder="1"/>
    <xf numFmtId="164" fontId="0" fillId="4" borderId="2" xfId="0" applyNumberFormat="1" applyFill="1" applyBorder="1"/>
    <xf numFmtId="164" fontId="0" fillId="5" borderId="1" xfId="0" applyNumberFormat="1" applyFill="1" applyBorder="1" applyAlignment="1">
      <alignment wrapText="1"/>
    </xf>
    <xf numFmtId="164" fontId="0" fillId="5" borderId="1" xfId="0" applyNumberFormat="1" applyFill="1" applyBorder="1"/>
    <xf numFmtId="164" fontId="0" fillId="5" borderId="2" xfId="0" applyNumberFormat="1" applyFill="1" applyBorder="1"/>
    <xf numFmtId="164" fontId="0" fillId="6" borderId="1" xfId="0" applyNumberFormat="1" applyFill="1" applyBorder="1" applyAlignment="1">
      <alignment wrapText="1"/>
    </xf>
    <xf numFmtId="164" fontId="0" fillId="6" borderId="1" xfId="0" applyNumberFormat="1" applyFill="1" applyBorder="1"/>
    <xf numFmtId="164" fontId="0" fillId="6" borderId="2" xfId="0" applyNumberFormat="1" applyFill="1" applyBorder="1"/>
    <xf numFmtId="164" fontId="0" fillId="7" borderId="1" xfId="0" applyNumberFormat="1" applyFill="1" applyBorder="1" applyAlignment="1">
      <alignment wrapText="1"/>
    </xf>
    <xf numFmtId="164" fontId="0" fillId="7" borderId="3" xfId="0" applyNumberFormat="1" applyFill="1" applyBorder="1"/>
    <xf numFmtId="164" fontId="0" fillId="7" borderId="2" xfId="0" applyNumberFormat="1" applyFill="1" applyBorder="1"/>
    <xf numFmtId="164" fontId="0" fillId="7" borderId="1" xfId="0" applyNumberFormat="1" applyFill="1" applyBorder="1"/>
    <xf numFmtId="164" fontId="0" fillId="7" borderId="2" xfId="0" applyNumberFormat="1" applyFill="1" applyBorder="1" applyAlignment="1">
      <alignment horizontal="center" wrapText="1"/>
    </xf>
    <xf numFmtId="164" fontId="0" fillId="8" borderId="1" xfId="0" applyNumberFormat="1" applyFill="1" applyBorder="1" applyAlignment="1">
      <alignment wrapText="1"/>
    </xf>
    <xf numFmtId="164" fontId="0" fillId="8" borderId="3" xfId="0" applyNumberFormat="1" applyFill="1" applyBorder="1"/>
    <xf numFmtId="164" fontId="0" fillId="8" borderId="2" xfId="0" applyNumberFormat="1" applyFill="1" applyBorder="1"/>
    <xf numFmtId="164" fontId="0" fillId="8" borderId="1" xfId="0" applyNumberFormat="1" applyFill="1" applyBorder="1"/>
    <xf numFmtId="164" fontId="0" fillId="8" borderId="2" xfId="0" applyNumberFormat="1" applyFill="1" applyBorder="1" applyAlignment="1">
      <alignment horizontal="center" wrapText="1"/>
    </xf>
    <xf numFmtId="164" fontId="0" fillId="8" borderId="3" xfId="0" applyNumberFormat="1" applyFill="1" applyBorder="1" applyAlignment="1">
      <alignment horizontal="center" wrapText="1"/>
    </xf>
    <xf numFmtId="164" fontId="0" fillId="4" borderId="6" xfId="0" applyNumberFormat="1" applyFill="1" applyBorder="1" applyAlignment="1">
      <alignment wrapText="1"/>
    </xf>
    <xf numFmtId="164" fontId="0" fillId="4" borderId="11" xfId="0" applyNumberFormat="1" applyFill="1" applyBorder="1"/>
    <xf numFmtId="164" fontId="0" fillId="4" borderId="6" xfId="0" applyNumberFormat="1" applyFill="1" applyBorder="1"/>
    <xf numFmtId="164" fontId="0" fillId="4" borderId="7" xfId="0" applyNumberFormat="1" applyFill="1" applyBorder="1"/>
    <xf numFmtId="164" fontId="0" fillId="5" borderId="6" xfId="0" applyNumberFormat="1" applyFill="1" applyBorder="1" applyAlignment="1">
      <alignment wrapText="1"/>
    </xf>
    <xf numFmtId="164" fontId="0" fillId="6" borderId="6" xfId="0" applyNumberFormat="1" applyFill="1" applyBorder="1" applyAlignment="1">
      <alignment wrapText="1"/>
    </xf>
    <xf numFmtId="164" fontId="0" fillId="7" borderId="6" xfId="0" applyNumberFormat="1" applyFill="1" applyBorder="1" applyAlignment="1">
      <alignment wrapText="1"/>
    </xf>
    <xf numFmtId="164" fontId="0" fillId="7" borderId="7" xfId="0" applyNumberFormat="1" applyFill="1" applyBorder="1" applyAlignment="1">
      <alignment horizontal="center" wrapText="1"/>
    </xf>
    <xf numFmtId="164" fontId="0" fillId="8" borderId="6" xfId="0" applyNumberFormat="1" applyFill="1" applyBorder="1" applyAlignment="1">
      <alignment wrapText="1"/>
    </xf>
    <xf numFmtId="164" fontId="0" fillId="8" borderId="7" xfId="0" applyNumberFormat="1" applyFill="1" applyBorder="1" applyAlignment="1">
      <alignment horizontal="center" wrapText="1"/>
    </xf>
    <xf numFmtId="164" fontId="0" fillId="8" borderId="8" xfId="0" applyNumberFormat="1" applyFill="1" applyBorder="1" applyAlignment="1">
      <alignment horizontal="center" wrapText="1"/>
    </xf>
    <xf numFmtId="164" fontId="0" fillId="4" borderId="9" xfId="0" applyNumberFormat="1" applyFill="1" applyBorder="1" applyAlignment="1">
      <alignment wrapText="1"/>
    </xf>
    <xf numFmtId="164" fontId="0" fillId="4" borderId="10" xfId="0" applyNumberFormat="1" applyFill="1" applyBorder="1" applyAlignment="1">
      <alignment wrapText="1"/>
    </xf>
    <xf numFmtId="164" fontId="0" fillId="4" borderId="11" xfId="0" applyNumberFormat="1" applyFill="1" applyBorder="1" applyAlignment="1">
      <alignment wrapText="1"/>
    </xf>
    <xf numFmtId="164" fontId="0" fillId="4" borderId="8" xfId="0" applyNumberFormat="1" applyFill="1" applyBorder="1" applyAlignment="1">
      <alignment horizontal="center"/>
    </xf>
    <xf numFmtId="164" fontId="0" fillId="5" borderId="5" xfId="0" applyNumberFormat="1" applyFill="1" applyBorder="1" applyAlignment="1">
      <alignment horizontal="center"/>
    </xf>
    <xf numFmtId="164" fontId="0" fillId="5" borderId="8" xfId="0" applyNumberFormat="1" applyFill="1" applyBorder="1" applyAlignment="1">
      <alignment horizontal="center"/>
    </xf>
    <xf numFmtId="164" fontId="0" fillId="7" borderId="3" xfId="0" applyNumberFormat="1" applyFill="1" applyBorder="1" applyAlignment="1">
      <alignment horizontal="center"/>
    </xf>
    <xf numFmtId="164" fontId="0" fillId="7" borderId="5" xfId="0" applyNumberFormat="1" applyFill="1" applyBorder="1" applyAlignment="1">
      <alignment horizontal="center"/>
    </xf>
    <xf numFmtId="164" fontId="0" fillId="7" borderId="8" xfId="0" applyNumberFormat="1" applyFill="1" applyBorder="1" applyAlignment="1">
      <alignment horizontal="center"/>
    </xf>
    <xf numFmtId="164" fontId="0" fillId="8" borderId="3" xfId="0" applyNumberFormat="1" applyFill="1" applyBorder="1" applyAlignment="1">
      <alignment horizontal="center"/>
    </xf>
    <xf numFmtId="164" fontId="0" fillId="8" borderId="5" xfId="0" applyNumberFormat="1" applyFill="1" applyBorder="1" applyAlignment="1">
      <alignment horizontal="center"/>
    </xf>
    <xf numFmtId="164" fontId="0" fillId="8" borderId="8" xfId="0" applyNumberFormat="1" applyFill="1" applyBorder="1" applyAlignment="1">
      <alignment horizontal="center"/>
    </xf>
    <xf numFmtId="164" fontId="0" fillId="6" borderId="3" xfId="0" applyNumberFormat="1" applyFill="1" applyBorder="1" applyAlignment="1">
      <alignment horizontal="center"/>
    </xf>
    <xf numFmtId="164" fontId="0" fillId="6" borderId="5" xfId="0" applyNumberFormat="1" applyFill="1" applyBorder="1" applyAlignment="1">
      <alignment horizontal="center"/>
    </xf>
    <xf numFmtId="164" fontId="0" fillId="6" borderId="8" xfId="0" applyNumberFormat="1" applyFill="1" applyBorder="1" applyAlignment="1">
      <alignment horizontal="center"/>
    </xf>
    <xf numFmtId="2" fontId="0" fillId="0" borderId="6" xfId="0" applyNumberFormat="1" applyBorder="1" applyAlignment="1">
      <alignment wrapText="1"/>
    </xf>
    <xf numFmtId="167" fontId="0" fillId="0" borderId="0" xfId="0" applyNumberFormat="1" applyFont="1" applyBorder="1" applyAlignment="1">
      <alignment horizontal="left"/>
    </xf>
    <xf numFmtId="167" fontId="0" fillId="0" borderId="0" xfId="0" applyNumberFormat="1" applyFont="1" applyAlignment="1">
      <alignment horizontal="left"/>
    </xf>
    <xf numFmtId="2" fontId="0" fillId="5" borderId="4" xfId="0" applyNumberFormat="1" applyFill="1" applyBorder="1"/>
    <xf numFmtId="2" fontId="0" fillId="6" borderId="4" xfId="0" applyNumberFormat="1" applyFill="1" applyBorder="1"/>
    <xf numFmtId="2" fontId="0" fillId="8" borderId="6" xfId="0" applyNumberFormat="1" applyFill="1" applyBorder="1"/>
    <xf numFmtId="164" fontId="0" fillId="0" borderId="0" xfId="0" applyNumberFormat="1" applyBorder="1" applyAlignment="1">
      <alignment wrapText="1"/>
    </xf>
    <xf numFmtId="0" fontId="0" fillId="0" borderId="2" xfId="0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1" fontId="0" fillId="0" borderId="0" xfId="0" applyNumberFormat="1" applyBorder="1" applyAlignment="1">
      <alignment horizontal="center" vertical="center" wrapText="1"/>
    </xf>
    <xf numFmtId="11" fontId="0" fillId="0" borderId="0" xfId="0" applyNumberFormat="1" applyBorder="1" applyAlignment="1">
      <alignment horizontal="center" vertical="center" wrapText="1"/>
    </xf>
    <xf numFmtId="1" fontId="0" fillId="0" borderId="5" xfId="0" applyNumberFormat="1" applyBorder="1" applyAlignment="1">
      <alignment horizontal="center" vertical="center" wrapText="1"/>
    </xf>
    <xf numFmtId="11" fontId="0" fillId="0" borderId="5" xfId="0" applyNumberFormat="1" applyBorder="1" applyAlignment="1">
      <alignment horizontal="center" vertical="center" wrapText="1"/>
    </xf>
    <xf numFmtId="164" fontId="0" fillId="0" borderId="2" xfId="0" applyNumberFormat="1" applyBorder="1" applyAlignment="1">
      <alignment horizontal="center" vertical="center" wrapText="1"/>
    </xf>
    <xf numFmtId="165" fontId="0" fillId="0" borderId="2" xfId="0" applyNumberFormat="1" applyBorder="1" applyAlignment="1">
      <alignment horizontal="center" vertical="center" wrapText="1"/>
    </xf>
    <xf numFmtId="164" fontId="0" fillId="0" borderId="3" xfId="0" applyNumberFormat="1" applyBorder="1" applyAlignment="1">
      <alignment horizontal="center" vertical="center" wrapText="1"/>
    </xf>
    <xf numFmtId="164" fontId="0" fillId="0" borderId="7" xfId="0" applyNumberFormat="1" applyBorder="1" applyAlignment="1">
      <alignment horizontal="center" vertical="center" wrapText="1"/>
    </xf>
    <xf numFmtId="164" fontId="0" fillId="0" borderId="8" xfId="0" applyNumberFormat="1" applyBorder="1" applyAlignment="1">
      <alignment horizontal="center" vertical="center" wrapText="1"/>
    </xf>
    <xf numFmtId="2" fontId="0" fillId="0" borderId="0" xfId="0" applyNumberFormat="1" applyBorder="1" applyAlignment="1">
      <alignment horizontal="center" vertical="center" wrapText="1"/>
    </xf>
    <xf numFmtId="2" fontId="0" fillId="0" borderId="5" xfId="0" applyNumberFormat="1" applyBorder="1" applyAlignment="1">
      <alignment horizontal="center" vertical="center" wrapText="1"/>
    </xf>
    <xf numFmtId="2" fontId="0" fillId="0" borderId="7" xfId="0" applyNumberFormat="1" applyBorder="1" applyAlignment="1">
      <alignment horizontal="center" vertical="center" wrapText="1"/>
    </xf>
    <xf numFmtId="2" fontId="0" fillId="0" borderId="8" xfId="0" applyNumberFormat="1" applyBorder="1" applyAlignment="1">
      <alignment horizontal="center" vertical="center" wrapText="1"/>
    </xf>
    <xf numFmtId="2" fontId="0" fillId="0" borderId="12" xfId="0" applyNumberFormat="1" applyBorder="1" applyAlignment="1">
      <alignment horizontal="center"/>
    </xf>
    <xf numFmtId="2" fontId="0" fillId="0" borderId="17" xfId="0" applyNumberFormat="1" applyBorder="1" applyAlignment="1">
      <alignment horizontal="center"/>
    </xf>
    <xf numFmtId="2" fontId="0" fillId="0" borderId="19" xfId="0" applyNumberFormat="1" applyBorder="1" applyAlignment="1">
      <alignment horizontal="center"/>
    </xf>
    <xf numFmtId="2" fontId="0" fillId="0" borderId="20" xfId="0" applyNumberFormat="1" applyBorder="1" applyAlignment="1">
      <alignment horizontal="center"/>
    </xf>
    <xf numFmtId="2" fontId="0" fillId="0" borderId="0" xfId="0" applyNumberFormat="1" applyBorder="1" applyAlignment="1">
      <alignment horizontal="center"/>
    </xf>
    <xf numFmtId="1" fontId="0" fillId="0" borderId="12" xfId="0" applyNumberFormat="1" applyBorder="1" applyAlignment="1">
      <alignment horizontal="center"/>
    </xf>
    <xf numFmtId="2" fontId="0" fillId="0" borderId="14" xfId="0" applyNumberFormat="1" applyBorder="1" applyAlignment="1">
      <alignment horizontal="center"/>
    </xf>
    <xf numFmtId="2" fontId="0" fillId="0" borderId="15" xfId="0" applyNumberFormat="1" applyBorder="1" applyAlignment="1">
      <alignment horizontal="center"/>
    </xf>
    <xf numFmtId="0" fontId="0" fillId="0" borderId="0" xfId="0" applyAlignment="1">
      <alignment vertical="top" wrapText="1"/>
    </xf>
    <xf numFmtId="0" fontId="0" fillId="0" borderId="0" xfId="0" applyFill="1" applyBorder="1" applyAlignment="1">
      <alignment wrapText="1"/>
    </xf>
    <xf numFmtId="2" fontId="0" fillId="0" borderId="1" xfId="0" applyNumberFormat="1" applyFill="1" applyBorder="1" applyAlignment="1">
      <alignment wrapText="1"/>
    </xf>
    <xf numFmtId="2" fontId="0" fillId="0" borderId="4" xfId="0" applyNumberFormat="1" applyFill="1" applyBorder="1" applyAlignment="1">
      <alignment wrapText="1"/>
    </xf>
    <xf numFmtId="2" fontId="0" fillId="0" borderId="6" xfId="0" applyNumberFormat="1" applyBorder="1" applyAlignment="1">
      <alignment horizontal="left" wrapText="1"/>
    </xf>
    <xf numFmtId="0" fontId="7" fillId="0" borderId="0" xfId="0" applyFont="1"/>
    <xf numFmtId="0" fontId="0" fillId="0" borderId="12" xfId="0" applyBorder="1" applyAlignment="1">
      <alignment wrapText="1"/>
    </xf>
    <xf numFmtId="0" fontId="0" fillId="0" borderId="14" xfId="0" applyBorder="1" applyAlignment="1">
      <alignment wrapText="1"/>
    </xf>
    <xf numFmtId="0" fontId="0" fillId="0" borderId="14" xfId="0" applyBorder="1" applyAlignment="1">
      <alignment horizontal="center" wrapText="1"/>
    </xf>
    <xf numFmtId="0" fontId="0" fillId="0" borderId="15" xfId="0" applyBorder="1" applyAlignment="1">
      <alignment horizontal="center" wrapText="1"/>
    </xf>
    <xf numFmtId="0" fontId="0" fillId="0" borderId="19" xfId="0" applyBorder="1" applyAlignment="1">
      <alignment wrapText="1"/>
    </xf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0" borderId="17" xfId="0" applyNumberFormat="1" applyBorder="1" applyAlignment="1">
      <alignment horizontal="center"/>
    </xf>
    <xf numFmtId="11" fontId="0" fillId="0" borderId="12" xfId="0" applyNumberFormat="1" applyBorder="1" applyAlignment="1">
      <alignment horizontal="center"/>
    </xf>
    <xf numFmtId="11" fontId="0" fillId="0" borderId="17" xfId="0" applyNumberFormat="1" applyBorder="1" applyAlignment="1">
      <alignment horizontal="center"/>
    </xf>
    <xf numFmtId="2" fontId="0" fillId="0" borderId="2" xfId="0" applyNumberFormat="1" applyBorder="1" applyAlignment="1">
      <alignment horizontal="center"/>
    </xf>
    <xf numFmtId="2" fontId="0" fillId="0" borderId="3" xfId="0" applyNumberFormat="1" applyBorder="1" applyAlignment="1">
      <alignment horizontal="center"/>
    </xf>
    <xf numFmtId="2" fontId="0" fillId="0" borderId="5" xfId="0" applyNumberFormat="1" applyBorder="1" applyAlignment="1">
      <alignment horizontal="center"/>
    </xf>
    <xf numFmtId="164" fontId="1" fillId="0" borderId="0" xfId="0" applyNumberFormat="1" applyFont="1" applyAlignment="1">
      <alignment wrapText="1"/>
    </xf>
    <xf numFmtId="2" fontId="0" fillId="0" borderId="0" xfId="0" applyNumberFormat="1"/>
    <xf numFmtId="1" fontId="0" fillId="0" borderId="1" xfId="0" applyNumberFormat="1" applyBorder="1" applyAlignment="1">
      <alignment horizontal="center"/>
    </xf>
    <xf numFmtId="1" fontId="0" fillId="0" borderId="4" xfId="0" applyNumberFormat="1" applyBorder="1" applyAlignment="1">
      <alignment horizontal="center"/>
    </xf>
    <xf numFmtId="1" fontId="0" fillId="0" borderId="4" xfId="0" applyNumberFormat="1" applyBorder="1" applyAlignment="1">
      <alignment horizontal="center" wrapText="1"/>
    </xf>
    <xf numFmtId="1" fontId="0" fillId="0" borderId="6" xfId="0" applyNumberFormat="1" applyBorder="1" applyAlignment="1">
      <alignment horizontal="center" wrapText="1"/>
    </xf>
    <xf numFmtId="0" fontId="7" fillId="0" borderId="0" xfId="0" applyFont="1" applyBorder="1" applyAlignment="1">
      <alignment horizontal="center" vertical="center" textRotation="90" wrapText="1"/>
    </xf>
    <xf numFmtId="164" fontId="0" fillId="0" borderId="0" xfId="0" applyNumberFormat="1" applyAlignment="1">
      <alignment horizontal="center"/>
    </xf>
    <xf numFmtId="165" fontId="0" fillId="3" borderId="5" xfId="0" applyNumberFormat="1" applyFill="1" applyBorder="1" applyAlignment="1">
      <alignment horizontal="center"/>
    </xf>
    <xf numFmtId="164" fontId="1" fillId="0" borderId="0" xfId="0" applyNumberFormat="1" applyFont="1"/>
    <xf numFmtId="11" fontId="0" fillId="0" borderId="0" xfId="0" applyNumberFormat="1"/>
    <xf numFmtId="10" fontId="1" fillId="0" borderId="12" xfId="0" applyNumberFormat="1" applyFont="1" applyFill="1" applyBorder="1" applyAlignment="1">
      <alignment horizontal="center" vertical="center"/>
    </xf>
    <xf numFmtId="164" fontId="1" fillId="0" borderId="12" xfId="0" applyNumberFormat="1" applyFont="1" applyFill="1" applyBorder="1" applyAlignment="1">
      <alignment horizontal="center" vertical="center"/>
    </xf>
    <xf numFmtId="0" fontId="0" fillId="0" borderId="12" xfId="0" applyFill="1" applyBorder="1" applyAlignment="1">
      <alignment horizontal="center" vertical="center" wrapText="1"/>
    </xf>
    <xf numFmtId="2" fontId="1" fillId="0" borderId="27" xfId="0" applyNumberFormat="1" applyFont="1" applyBorder="1" applyAlignment="1">
      <alignment horizontal="center" vertical="center" wrapText="1"/>
    </xf>
    <xf numFmtId="2" fontId="1" fillId="0" borderId="26" xfId="0" applyNumberFormat="1" applyFont="1" applyBorder="1" applyAlignment="1">
      <alignment horizontal="center" vertical="center" wrapText="1"/>
    </xf>
    <xf numFmtId="2" fontId="1" fillId="0" borderId="22" xfId="0" applyNumberFormat="1" applyFont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 wrapText="1"/>
    </xf>
    <xf numFmtId="2" fontId="1" fillId="0" borderId="22" xfId="0" applyNumberFormat="1" applyFont="1" applyFill="1" applyBorder="1" applyAlignment="1">
      <alignment horizontal="center" vertical="center" wrapText="1"/>
    </xf>
    <xf numFmtId="2" fontId="1" fillId="0" borderId="23" xfId="0" applyNumberFormat="1" applyFont="1" applyFill="1" applyBorder="1" applyAlignment="1">
      <alignment horizontal="center" vertical="center" wrapText="1"/>
    </xf>
    <xf numFmtId="2" fontId="1" fillId="0" borderId="24" xfId="0" applyNumberFormat="1" applyFont="1" applyBorder="1" applyAlignment="1">
      <alignment horizontal="center" vertical="center" wrapText="1"/>
    </xf>
    <xf numFmtId="164" fontId="0" fillId="0" borderId="13" xfId="0" applyNumberFormat="1" applyBorder="1" applyAlignment="1">
      <alignment horizontal="center" vertical="center"/>
    </xf>
    <xf numFmtId="164" fontId="0" fillId="0" borderId="14" xfId="0" applyNumberFormat="1" applyBorder="1" applyAlignment="1">
      <alignment horizontal="center" vertical="center"/>
    </xf>
    <xf numFmtId="1" fontId="0" fillId="0" borderId="14" xfId="0" applyNumberFormat="1" applyBorder="1" applyAlignment="1">
      <alignment horizontal="center" vertical="center"/>
    </xf>
    <xf numFmtId="2" fontId="0" fillId="0" borderId="14" xfId="0" applyNumberFormat="1" applyBorder="1" applyAlignment="1">
      <alignment horizontal="center" vertical="center"/>
    </xf>
    <xf numFmtId="2" fontId="0" fillId="0" borderId="15" xfId="0" applyNumberFormat="1" applyBorder="1" applyAlignment="1">
      <alignment horizontal="center" vertical="center"/>
    </xf>
    <xf numFmtId="164" fontId="0" fillId="0" borderId="16" xfId="0" applyNumberFormat="1" applyBorder="1" applyAlignment="1">
      <alignment horizontal="center" vertical="center"/>
    </xf>
    <xf numFmtId="164" fontId="0" fillId="0" borderId="12" xfId="0" applyNumberFormat="1" applyBorder="1" applyAlignment="1">
      <alignment horizontal="center" vertical="center"/>
    </xf>
    <xf numFmtId="1" fontId="0" fillId="0" borderId="12" xfId="0" applyNumberFormat="1" applyBorder="1" applyAlignment="1">
      <alignment horizontal="center" vertical="center"/>
    </xf>
    <xf numFmtId="2" fontId="0" fillId="0" borderId="12" xfId="0" applyNumberFormat="1" applyBorder="1" applyAlignment="1">
      <alignment horizontal="center" vertical="center"/>
    </xf>
    <xf numFmtId="2" fontId="0" fillId="0" borderId="17" xfId="0" applyNumberFormat="1" applyBorder="1" applyAlignment="1">
      <alignment horizontal="center" vertical="center"/>
    </xf>
    <xf numFmtId="2" fontId="1" fillId="0" borderId="25" xfId="0" applyNumberFormat="1" applyFont="1" applyBorder="1" applyAlignment="1">
      <alignment horizontal="center" vertical="center" wrapText="1"/>
    </xf>
    <xf numFmtId="164" fontId="0" fillId="0" borderId="18" xfId="0" applyNumberFormat="1" applyBorder="1" applyAlignment="1">
      <alignment horizontal="center" vertical="center"/>
    </xf>
    <xf numFmtId="164" fontId="0" fillId="0" borderId="19" xfId="0" applyNumberFormat="1" applyBorder="1" applyAlignment="1">
      <alignment horizontal="center" vertical="center"/>
    </xf>
    <xf numFmtId="1" fontId="0" fillId="0" borderId="19" xfId="0" applyNumberFormat="1" applyBorder="1" applyAlignment="1">
      <alignment horizontal="center" vertical="center"/>
    </xf>
    <xf numFmtId="2" fontId="0" fillId="0" borderId="19" xfId="0" applyNumberFormat="1" applyBorder="1" applyAlignment="1">
      <alignment horizontal="center" vertical="center"/>
    </xf>
    <xf numFmtId="2" fontId="0" fillId="0" borderId="20" xfId="0" applyNumberFormat="1" applyBorder="1" applyAlignment="1">
      <alignment horizontal="center" vertical="center"/>
    </xf>
    <xf numFmtId="0" fontId="0" fillId="0" borderId="12" xfId="0" applyFill="1" applyBorder="1" applyAlignment="1">
      <alignment vertical="center" wrapText="1"/>
    </xf>
    <xf numFmtId="0" fontId="1" fillId="0" borderId="12" xfId="0" applyFont="1" applyFill="1" applyBorder="1" applyAlignment="1">
      <alignment vertical="center" wrapText="1"/>
    </xf>
    <xf numFmtId="0" fontId="0" fillId="0" borderId="12" xfId="0" applyFont="1" applyFill="1" applyBorder="1" applyAlignment="1">
      <alignment vertical="center" wrapText="1"/>
    </xf>
    <xf numFmtId="0" fontId="1" fillId="0" borderId="0" xfId="0" applyFont="1" applyFill="1" applyAlignment="1">
      <alignment horizontal="center" wrapText="1"/>
    </xf>
    <xf numFmtId="3" fontId="1" fillId="0" borderId="0" xfId="0" applyNumberFormat="1" applyFont="1" applyFill="1" applyAlignment="1">
      <alignment horizontal="center" wrapText="1"/>
    </xf>
    <xf numFmtId="0" fontId="0" fillId="0" borderId="3" xfId="0" applyBorder="1" applyAlignment="1">
      <alignment wrapText="1"/>
    </xf>
    <xf numFmtId="1" fontId="0" fillId="4" borderId="12" xfId="0" applyNumberFormat="1" applyFill="1" applyBorder="1" applyAlignment="1">
      <alignment wrapText="1"/>
    </xf>
    <xf numFmtId="2" fontId="0" fillId="4" borderId="12" xfId="0" applyNumberFormat="1" applyFill="1" applyBorder="1"/>
    <xf numFmtId="2" fontId="0" fillId="4" borderId="12" xfId="0" applyNumberFormat="1" applyFill="1" applyBorder="1" applyAlignment="1">
      <alignment wrapText="1"/>
    </xf>
    <xf numFmtId="1" fontId="0" fillId="5" borderId="12" xfId="0" applyNumberFormat="1" applyFill="1" applyBorder="1"/>
    <xf numFmtId="2" fontId="0" fillId="5" borderId="12" xfId="0" applyNumberFormat="1" applyFill="1" applyBorder="1"/>
    <xf numFmtId="1" fontId="0" fillId="6" borderId="12" xfId="0" applyNumberFormat="1" applyFill="1" applyBorder="1"/>
    <xf numFmtId="2" fontId="0" fillId="6" borderId="12" xfId="0" applyNumberFormat="1" applyFill="1" applyBorder="1"/>
    <xf numFmtId="1" fontId="0" fillId="7" borderId="12" xfId="0" applyNumberFormat="1" applyFill="1" applyBorder="1"/>
    <xf numFmtId="0" fontId="0" fillId="0" borderId="13" xfId="0" applyBorder="1" applyAlignment="1">
      <alignment wrapText="1"/>
    </xf>
    <xf numFmtId="2" fontId="0" fillId="0" borderId="15" xfId="0" applyNumberFormat="1" applyBorder="1" applyAlignment="1">
      <alignment wrapText="1"/>
    </xf>
    <xf numFmtId="0" fontId="0" fillId="4" borderId="16" xfId="0" applyFill="1" applyBorder="1" applyAlignment="1">
      <alignment wrapText="1"/>
    </xf>
    <xf numFmtId="2" fontId="0" fillId="4" borderId="17" xfId="0" applyNumberFormat="1" applyFill="1" applyBorder="1" applyAlignment="1">
      <alignment wrapText="1"/>
    </xf>
    <xf numFmtId="0" fontId="0" fillId="5" borderId="16" xfId="0" applyFill="1" applyBorder="1"/>
    <xf numFmtId="2" fontId="0" fillId="5" borderId="17" xfId="0" applyNumberFormat="1" applyFill="1" applyBorder="1"/>
    <xf numFmtId="0" fontId="0" fillId="6" borderId="16" xfId="0" applyFill="1" applyBorder="1"/>
    <xf numFmtId="2" fontId="0" fillId="6" borderId="17" xfId="0" applyNumberFormat="1" applyFill="1" applyBorder="1"/>
    <xf numFmtId="0" fontId="0" fillId="7" borderId="16" xfId="0" applyFill="1" applyBorder="1"/>
    <xf numFmtId="0" fontId="0" fillId="8" borderId="18" xfId="0" applyFill="1" applyBorder="1"/>
    <xf numFmtId="1" fontId="0" fillId="8" borderId="19" xfId="0" applyNumberFormat="1" applyFill="1" applyBorder="1"/>
    <xf numFmtId="2" fontId="0" fillId="8" borderId="19" xfId="0" applyNumberFormat="1" applyFill="1" applyBorder="1"/>
    <xf numFmtId="2" fontId="0" fillId="8" borderId="20" xfId="0" applyNumberFormat="1" applyFill="1" applyBorder="1"/>
    <xf numFmtId="2" fontId="0" fillId="7" borderId="12" xfId="0" applyNumberFormat="1" applyFill="1" applyBorder="1"/>
    <xf numFmtId="2" fontId="0" fillId="7" borderId="17" xfId="0" applyNumberFormat="1" applyFill="1" applyBorder="1"/>
    <xf numFmtId="1" fontId="0" fillId="0" borderId="0" xfId="0" applyNumberFormat="1" applyBorder="1" applyAlignment="1">
      <alignment horizontal="center"/>
    </xf>
    <xf numFmtId="1" fontId="0" fillId="0" borderId="5" xfId="0" applyNumberFormat="1" applyBorder="1" applyAlignment="1">
      <alignment horizontal="center"/>
    </xf>
    <xf numFmtId="0" fontId="1" fillId="0" borderId="0" xfId="0" applyFont="1" applyFill="1" applyBorder="1"/>
    <xf numFmtId="0" fontId="0" fillId="6" borderId="9" xfId="0" applyFill="1" applyBorder="1" applyAlignment="1">
      <alignment wrapText="1"/>
    </xf>
    <xf numFmtId="164" fontId="0" fillId="6" borderId="10" xfId="0" applyNumberFormat="1" applyFill="1" applyBorder="1"/>
    <xf numFmtId="164" fontId="0" fillId="6" borderId="11" xfId="0" applyNumberFormat="1" applyFill="1" applyBorder="1"/>
    <xf numFmtId="0" fontId="0" fillId="7" borderId="9" xfId="0" applyFill="1" applyBorder="1" applyAlignment="1">
      <alignment wrapText="1"/>
    </xf>
    <xf numFmtId="164" fontId="0" fillId="7" borderId="10" xfId="0" applyNumberFormat="1" applyFill="1" applyBorder="1"/>
    <xf numFmtId="164" fontId="0" fillId="7" borderId="9" xfId="0" applyNumberFormat="1" applyFill="1" applyBorder="1"/>
    <xf numFmtId="164" fontId="0" fillId="7" borderId="11" xfId="0" applyNumberFormat="1" applyFill="1" applyBorder="1"/>
    <xf numFmtId="0" fontId="0" fillId="8" borderId="9" xfId="0" applyFill="1" applyBorder="1" applyAlignment="1">
      <alignment wrapText="1"/>
    </xf>
    <xf numFmtId="164" fontId="0" fillId="8" borderId="10" xfId="0" applyNumberFormat="1" applyFill="1" applyBorder="1"/>
    <xf numFmtId="164" fontId="0" fillId="8" borderId="9" xfId="0" applyNumberFormat="1" applyFill="1" applyBorder="1"/>
    <xf numFmtId="164" fontId="0" fillId="8" borderId="11" xfId="0" applyNumberFormat="1" applyFill="1" applyBorder="1"/>
    <xf numFmtId="0" fontId="0" fillId="0" borderId="0" xfId="0" applyAlignment="1">
      <alignment horizontal="center" vertical="center" wrapText="1"/>
    </xf>
    <xf numFmtId="0" fontId="0" fillId="4" borderId="4" xfId="0" applyFill="1" applyBorder="1" applyAlignment="1">
      <alignment horizontal="center" vertical="center" wrapText="1"/>
    </xf>
    <xf numFmtId="0" fontId="0" fillId="4" borderId="10" xfId="0" applyFill="1" applyBorder="1" applyAlignment="1">
      <alignment horizontal="center" vertical="center" wrapText="1"/>
    </xf>
    <xf numFmtId="0" fontId="0" fillId="4" borderId="0" xfId="0" applyFill="1" applyBorder="1" applyAlignment="1">
      <alignment horizontal="center" vertical="center" wrapText="1"/>
    </xf>
    <xf numFmtId="0" fontId="0" fillId="5" borderId="4" xfId="0" applyFill="1" applyBorder="1" applyAlignment="1">
      <alignment horizontal="center" vertical="center" wrapText="1"/>
    </xf>
    <xf numFmtId="0" fontId="0" fillId="5" borderId="5" xfId="0" applyFill="1" applyBorder="1" applyAlignment="1">
      <alignment horizontal="center" vertical="center" wrapText="1"/>
    </xf>
    <xf numFmtId="164" fontId="0" fillId="5" borderId="4" xfId="0" applyNumberFormat="1" applyFill="1" applyBorder="1" applyAlignment="1">
      <alignment horizontal="center" vertical="center" wrapText="1"/>
    </xf>
    <xf numFmtId="0" fontId="0" fillId="5" borderId="0" xfId="0" applyFill="1" applyBorder="1" applyAlignment="1">
      <alignment horizontal="center" vertical="center" wrapText="1"/>
    </xf>
    <xf numFmtId="0" fontId="0" fillId="6" borderId="4" xfId="0" applyFill="1" applyBorder="1" applyAlignment="1">
      <alignment horizontal="center" vertical="center" wrapText="1"/>
    </xf>
    <xf numFmtId="0" fontId="0" fillId="6" borderId="5" xfId="0" applyFill="1" applyBorder="1" applyAlignment="1">
      <alignment horizontal="center" vertical="center" wrapText="1"/>
    </xf>
    <xf numFmtId="0" fontId="0" fillId="6" borderId="10" xfId="0" applyFill="1" applyBorder="1" applyAlignment="1">
      <alignment horizontal="center" vertical="center" wrapText="1"/>
    </xf>
    <xf numFmtId="0" fontId="0" fillId="6" borderId="0" xfId="0" applyFill="1" applyBorder="1" applyAlignment="1">
      <alignment horizontal="center" vertical="center" wrapText="1"/>
    </xf>
    <xf numFmtId="0" fontId="0" fillId="7" borderId="4" xfId="0" applyFill="1" applyBorder="1" applyAlignment="1">
      <alignment horizontal="center" vertical="center" wrapText="1"/>
    </xf>
    <xf numFmtId="0" fontId="0" fillId="7" borderId="5" xfId="0" applyFill="1" applyBorder="1" applyAlignment="1">
      <alignment horizontal="center" vertical="center" wrapText="1"/>
    </xf>
    <xf numFmtId="0" fontId="0" fillId="7" borderId="10" xfId="0" applyFill="1" applyBorder="1" applyAlignment="1">
      <alignment horizontal="center" vertical="center" wrapText="1"/>
    </xf>
    <xf numFmtId="0" fontId="0" fillId="7" borderId="0" xfId="0" applyFill="1" applyBorder="1" applyAlignment="1">
      <alignment horizontal="center" vertical="center" wrapText="1"/>
    </xf>
    <xf numFmtId="0" fontId="0" fillId="8" borderId="4" xfId="0" applyFill="1" applyBorder="1" applyAlignment="1">
      <alignment horizontal="center" vertical="center" wrapText="1"/>
    </xf>
    <xf numFmtId="0" fontId="0" fillId="8" borderId="5" xfId="0" applyFill="1" applyBorder="1" applyAlignment="1">
      <alignment horizontal="center" vertical="center" wrapText="1"/>
    </xf>
    <xf numFmtId="0" fontId="0" fillId="8" borderId="10" xfId="0" applyFill="1" applyBorder="1" applyAlignment="1">
      <alignment horizontal="center" vertical="center" wrapText="1"/>
    </xf>
    <xf numFmtId="0" fontId="0" fillId="8" borderId="0" xfId="0" applyFill="1" applyBorder="1" applyAlignment="1">
      <alignment horizontal="center" vertical="center" wrapText="1"/>
    </xf>
    <xf numFmtId="164" fontId="0" fillId="4" borderId="4" xfId="0" applyNumberFormat="1" applyFill="1" applyBorder="1" applyAlignment="1">
      <alignment horizontal="center" vertical="center" wrapText="1"/>
    </xf>
    <xf numFmtId="164" fontId="0" fillId="6" borderId="4" xfId="0" applyNumberFormat="1" applyFill="1" applyBorder="1" applyAlignment="1">
      <alignment horizontal="center" vertical="center" wrapText="1"/>
    </xf>
    <xf numFmtId="164" fontId="0" fillId="7" borderId="4" xfId="0" applyNumberFormat="1" applyFill="1" applyBorder="1" applyAlignment="1">
      <alignment horizontal="center" vertical="center" wrapText="1"/>
    </xf>
    <xf numFmtId="164" fontId="0" fillId="8" borderId="4" xfId="0" applyNumberFormat="1" applyFill="1" applyBorder="1" applyAlignment="1">
      <alignment horizontal="center" vertical="center" wrapText="1"/>
    </xf>
    <xf numFmtId="0" fontId="1" fillId="9" borderId="13" xfId="0" applyFont="1" applyFill="1" applyBorder="1" applyAlignment="1">
      <alignment wrapText="1"/>
    </xf>
    <xf numFmtId="164" fontId="1" fillId="9" borderId="15" xfId="0" applyNumberFormat="1" applyFont="1" applyFill="1" applyBorder="1"/>
    <xf numFmtId="0" fontId="0" fillId="9" borderId="16" xfId="0" applyFont="1" applyFill="1" applyBorder="1" applyAlignment="1">
      <alignment wrapText="1"/>
    </xf>
    <xf numFmtId="164" fontId="1" fillId="9" borderId="17" xfId="0" applyNumberFormat="1" applyFont="1" applyFill="1" applyBorder="1"/>
    <xf numFmtId="0" fontId="0" fillId="9" borderId="18" xfId="0" applyFont="1" applyFill="1" applyBorder="1" applyAlignment="1">
      <alignment wrapText="1"/>
    </xf>
    <xf numFmtId="164" fontId="1" fillId="9" borderId="20" xfId="0" applyNumberFormat="1" applyFont="1" applyFill="1" applyBorder="1"/>
    <xf numFmtId="0" fontId="0" fillId="0" borderId="0" xfId="0" applyAlignment="1"/>
    <xf numFmtId="2" fontId="0" fillId="0" borderId="0" xfId="0" applyNumberFormat="1" applyFill="1" applyBorder="1" applyAlignment="1">
      <alignment wrapText="1"/>
    </xf>
    <xf numFmtId="169" fontId="0" fillId="0" borderId="0" xfId="0" applyNumberFormat="1" applyFill="1" applyBorder="1" applyAlignment="1">
      <alignment horizontal="center" vertical="center" wrapText="1"/>
    </xf>
    <xf numFmtId="169" fontId="0" fillId="0" borderId="0" xfId="0" applyNumberFormat="1" applyAlignment="1">
      <alignment horizontal="center"/>
    </xf>
    <xf numFmtId="0" fontId="7" fillId="0" borderId="13" xfId="0" applyFont="1" applyBorder="1" applyAlignment="1">
      <alignment horizontal="center" vertical="center" textRotation="90" wrapText="1"/>
    </xf>
    <xf numFmtId="0" fontId="7" fillId="0" borderId="16" xfId="0" applyFont="1" applyBorder="1" applyAlignment="1">
      <alignment horizontal="center" vertical="center" textRotation="90" wrapText="1"/>
    </xf>
    <xf numFmtId="0" fontId="7" fillId="0" borderId="18" xfId="0" applyFont="1" applyBorder="1" applyAlignment="1">
      <alignment horizontal="center" vertical="center" textRotation="90" wrapText="1"/>
    </xf>
    <xf numFmtId="0" fontId="7" fillId="0" borderId="13" xfId="0" applyFont="1" applyBorder="1" applyAlignment="1">
      <alignment horizontal="center" vertical="center" wrapText="1"/>
    </xf>
    <xf numFmtId="0" fontId="7" fillId="0" borderId="18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textRotation="90"/>
    </xf>
    <xf numFmtId="0" fontId="7" fillId="0" borderId="10" xfId="0" applyFont="1" applyBorder="1" applyAlignment="1">
      <alignment horizontal="center" vertical="center" textRotation="90"/>
    </xf>
    <xf numFmtId="0" fontId="7" fillId="0" borderId="11" xfId="0" applyFont="1" applyBorder="1" applyAlignment="1">
      <alignment horizontal="center" vertical="center" textRotation="90"/>
    </xf>
    <xf numFmtId="0" fontId="7" fillId="0" borderId="9" xfId="0" applyFont="1" applyBorder="1" applyAlignment="1">
      <alignment horizontal="center" wrapText="1"/>
    </xf>
    <xf numFmtId="0" fontId="7" fillId="0" borderId="11" xfId="0" applyFont="1" applyBorder="1" applyAlignment="1">
      <alignment horizontal="center" wrapText="1"/>
    </xf>
    <xf numFmtId="0" fontId="7" fillId="0" borderId="9" xfId="0" applyFont="1" applyBorder="1" applyAlignment="1">
      <alignment horizontal="center" vertical="center" textRotation="90" wrapText="1"/>
    </xf>
    <xf numFmtId="0" fontId="7" fillId="0" borderId="10" xfId="0" applyFont="1" applyBorder="1" applyAlignment="1">
      <alignment horizontal="center" vertical="center" textRotation="90" wrapText="1"/>
    </xf>
    <xf numFmtId="0" fontId="7" fillId="0" borderId="11" xfId="0" applyFont="1" applyBorder="1" applyAlignment="1">
      <alignment horizontal="center" vertical="center" textRotation="90" wrapText="1"/>
    </xf>
    <xf numFmtId="0" fontId="1" fillId="0" borderId="0" xfId="0" applyFont="1" applyFill="1" applyAlignment="1">
      <alignment horizontal="center"/>
    </xf>
    <xf numFmtId="0" fontId="0" fillId="0" borderId="0" xfId="0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Belle Chasse Discharge (cfs) vs. Suspended Sand Fraction To</a:t>
            </a:r>
            <a:r>
              <a:rPr lang="en-US" baseline="0"/>
              <a:t> 10 m</a:t>
            </a:r>
            <a:endParaRPr lang="en-US"/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AllisonEA - Bar</c:v>
          </c:tx>
          <c:spPr>
            <a:ln w="28575">
              <a:noFill/>
            </a:ln>
          </c:spPr>
          <c:xVal>
            <c:numRef>
              <c:f>('Sd Calculations'!#REF!,'Sd Calculations'!#REF!,'Sd Calculations'!#REF!,'Sd Calculations'!#REF!)</c:f>
              <c:numCache>
                <c:formatCode>General</c:formatCode>
                <c:ptCount val="1"/>
                <c:pt idx="0">
                  <c:v>1</c:v>
                </c:pt>
              </c:numCache>
            </c:numRef>
          </c:xVal>
          <c:yVal>
            <c:numRef>
              <c:f>('Sd Calculations'!#REF!,'Sd Calculations'!#REF!,'Sd Calculations'!#REF!,'Sd Calculations'!#REF!)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978-4419-99E0-FA22DB1213CB}"/>
            </c:ext>
          </c:extLst>
        </c:ser>
        <c:ser>
          <c:idx val="1"/>
          <c:order val="1"/>
          <c:tx>
            <c:v>AllisonEA - Center</c:v>
          </c:tx>
          <c:spPr>
            <a:ln w="28575">
              <a:noFill/>
            </a:ln>
          </c:spPr>
          <c:xVal>
            <c:numRef>
              <c:f>('Sd Calculations'!#REF!,'Sd Calculations'!#REF!,'Sd Calculations'!#REF!,'Sd Calculations'!#REF!)</c:f>
              <c:numCache>
                <c:formatCode>General</c:formatCode>
                <c:ptCount val="1"/>
                <c:pt idx="0">
                  <c:v>1</c:v>
                </c:pt>
              </c:numCache>
            </c:numRef>
          </c:xVal>
          <c:yVal>
            <c:numRef>
              <c:f>('Sd Calculations'!#REF!,'Sd Calculations'!#REF!,'Sd Calculations'!#REF!,'Sd Calculations'!#REF!)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978-4419-99E0-FA22DB1213CB}"/>
            </c:ext>
          </c:extLst>
        </c:ser>
        <c:ser>
          <c:idx val="2"/>
          <c:order val="2"/>
          <c:tx>
            <c:v>AllisonEA - Thalweg</c:v>
          </c:tx>
          <c:spPr>
            <a:ln w="28575">
              <a:noFill/>
            </a:ln>
          </c:spPr>
          <c:xVal>
            <c:numRef>
              <c:f>('Sd Calculations'!#REF!,'Sd Calculations'!#REF!)</c:f>
              <c:numCache>
                <c:formatCode>General</c:formatCode>
                <c:ptCount val="1"/>
                <c:pt idx="0">
                  <c:v>1</c:v>
                </c:pt>
              </c:numCache>
            </c:numRef>
          </c:xVal>
          <c:yVal>
            <c:numRef>
              <c:f>('Sd Calculations'!#REF!,'Sd Calculations'!#REF!)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D978-4419-99E0-FA22DB1213C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11412784"/>
        <c:axId val="311414352"/>
      </c:scatterChart>
      <c:valAx>
        <c:axId val="3114127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Water</a:t>
                </a:r>
                <a:r>
                  <a:rPr lang="en-US" baseline="0"/>
                  <a:t> Discharge at Belle Chasse (cfs)</a:t>
                </a:r>
                <a:endParaRPr lang="en-US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311414352"/>
        <c:crosses val="autoZero"/>
        <c:crossBetween val="midCat"/>
      </c:valAx>
      <c:valAx>
        <c:axId val="311414352"/>
        <c:scaling>
          <c:orientation val="minMax"/>
          <c:max val="0.60000000000000009"/>
        </c:scaling>
        <c:delete val="0"/>
        <c:axPos val="l"/>
        <c:majorGridlines/>
        <c:title>
          <c:tx>
            <c:rich>
              <a:bodyPr rot="0" vert="wordArtVert"/>
              <a:lstStyle/>
              <a:p>
                <a:pPr>
                  <a:defRPr/>
                </a:pPr>
                <a:r>
                  <a:rPr lang="en-US"/>
                  <a:t>Sand Fraction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311412784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Belle Chasse Discharge (cfs) vs. Suspended Sand Fraction To</a:t>
            </a:r>
            <a:r>
              <a:rPr lang="en-US" baseline="0"/>
              <a:t> 12.5 m</a:t>
            </a:r>
            <a:endParaRPr lang="en-US"/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AllisonEA - Bar</c:v>
          </c:tx>
          <c:spPr>
            <a:ln w="28575">
              <a:noFill/>
            </a:ln>
          </c:spPr>
          <c:xVal>
            <c:numRef>
              <c:f>('Sd Calculations'!#REF!,'Sd Calculations'!#REF!,'Sd Calculations'!#REF!,'Sd Calculations'!#REF!)</c:f>
              <c:numCache>
                <c:formatCode>General</c:formatCode>
                <c:ptCount val="1"/>
                <c:pt idx="0">
                  <c:v>1</c:v>
                </c:pt>
              </c:numCache>
            </c:numRef>
          </c:xVal>
          <c:yVal>
            <c:numRef>
              <c:f>('Sd Calculations'!#REF!,'Sd Calculations'!#REF!,'Sd Calculations'!#REF!,'Sd Calculations'!#REF!)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C36-46FC-8402-D3494A29D06E}"/>
            </c:ext>
          </c:extLst>
        </c:ser>
        <c:ser>
          <c:idx val="1"/>
          <c:order val="1"/>
          <c:tx>
            <c:v>AllisonEA - Center</c:v>
          </c:tx>
          <c:spPr>
            <a:ln w="28575">
              <a:noFill/>
            </a:ln>
          </c:spPr>
          <c:xVal>
            <c:numRef>
              <c:f>('Sd Calculations'!#REF!,'Sd Calculations'!#REF!,'Sd Calculations'!#REF!,'Sd Calculations'!#REF!)</c:f>
              <c:numCache>
                <c:formatCode>General</c:formatCode>
                <c:ptCount val="1"/>
                <c:pt idx="0">
                  <c:v>1</c:v>
                </c:pt>
              </c:numCache>
            </c:numRef>
          </c:xVal>
          <c:yVal>
            <c:numRef>
              <c:f>('Sd Calculations'!#REF!,'Sd Calculations'!#REF!,'Sd Calculations'!#REF!,'Sd Calculations'!#REF!)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C36-46FC-8402-D3494A29D06E}"/>
            </c:ext>
          </c:extLst>
        </c:ser>
        <c:ser>
          <c:idx val="2"/>
          <c:order val="2"/>
          <c:tx>
            <c:v>AllisonEA - Thalweg</c:v>
          </c:tx>
          <c:spPr>
            <a:ln w="28575">
              <a:noFill/>
            </a:ln>
          </c:spPr>
          <c:xVal>
            <c:numRef>
              <c:f>('Sd Calculations'!#REF!,'Sd Calculations'!#REF!)</c:f>
              <c:numCache>
                <c:formatCode>General</c:formatCode>
                <c:ptCount val="1"/>
                <c:pt idx="0">
                  <c:v>1</c:v>
                </c:pt>
              </c:numCache>
            </c:numRef>
          </c:xVal>
          <c:yVal>
            <c:numRef>
              <c:f>('Sd Calculations'!#REF!,'Sd Calculations'!#REF!)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DC36-46FC-8402-D3494A29D06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11410824"/>
        <c:axId val="311412392"/>
      </c:scatterChart>
      <c:valAx>
        <c:axId val="3114108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Water</a:t>
                </a:r>
                <a:r>
                  <a:rPr lang="en-US" baseline="0"/>
                  <a:t> Discharge at Belle Chasse (cfs)</a:t>
                </a:r>
                <a:endParaRPr lang="en-US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311412392"/>
        <c:crosses val="autoZero"/>
        <c:crossBetween val="midCat"/>
      </c:valAx>
      <c:valAx>
        <c:axId val="311412392"/>
        <c:scaling>
          <c:orientation val="minMax"/>
          <c:max val="0.60000000000000009"/>
        </c:scaling>
        <c:delete val="0"/>
        <c:axPos val="l"/>
        <c:majorGridlines/>
        <c:title>
          <c:tx>
            <c:rich>
              <a:bodyPr rot="0" vert="wordArtVert"/>
              <a:lstStyle/>
              <a:p>
                <a:pPr>
                  <a:defRPr/>
                </a:pPr>
                <a:r>
                  <a:rPr lang="en-US"/>
                  <a:t>Sand Fraction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311410824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'Sediment Samples'!$N$4</c:f>
              <c:strCache>
                <c:ptCount val="1"/>
                <c:pt idx="0">
                  <c:v>Frequency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'Sediment Samples'!$M$5:$M$16</c:f>
              <c:strCache>
                <c:ptCount val="12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More</c:v>
                </c:pt>
              </c:strCache>
            </c:strRef>
          </c:cat>
          <c:val>
            <c:numRef>
              <c:f>'Sediment Samples'!$N$5:$N$16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</c:v>
                </c:pt>
                <c:pt idx="4">
                  <c:v>1</c:v>
                </c:pt>
                <c:pt idx="5">
                  <c:v>2</c:v>
                </c:pt>
                <c:pt idx="6">
                  <c:v>2</c:v>
                </c:pt>
                <c:pt idx="7">
                  <c:v>2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971-4A4D-B0EF-FAF4AD7FCD9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11417488"/>
        <c:axId val="311411608"/>
      </c:barChart>
      <c:catAx>
        <c:axId val="3114174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11411608"/>
        <c:crosses val="autoZero"/>
        <c:auto val="1"/>
        <c:lblAlgn val="ctr"/>
        <c:lblOffset val="100"/>
        <c:noMultiLvlLbl val="0"/>
      </c:catAx>
      <c:valAx>
        <c:axId val="3114116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1141748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'Sediment Samples'!$N$22</c:f>
              <c:strCache>
                <c:ptCount val="1"/>
                <c:pt idx="0">
                  <c:v>Frequency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'Sediment Samples'!$M$23:$M$34</c:f>
              <c:strCache>
                <c:ptCount val="12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More</c:v>
                </c:pt>
              </c:strCache>
            </c:strRef>
          </c:cat>
          <c:val>
            <c:numRef>
              <c:f>'Sediment Samples'!$N$23:$N$34</c:f>
              <c:numCache>
                <c:formatCode>General</c:formatCode>
                <c:ptCount val="12"/>
                <c:pt idx="0">
                  <c:v>0</c:v>
                </c:pt>
                <c:pt idx="1">
                  <c:v>1</c:v>
                </c:pt>
                <c:pt idx="2">
                  <c:v>5</c:v>
                </c:pt>
                <c:pt idx="3">
                  <c:v>3</c:v>
                </c:pt>
                <c:pt idx="4">
                  <c:v>4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1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13E-4E96-8B03-61D7730CADE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11417880"/>
        <c:axId val="311416704"/>
      </c:barChart>
      <c:catAx>
        <c:axId val="3114178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11416704"/>
        <c:crosses val="autoZero"/>
        <c:auto val="1"/>
        <c:lblAlgn val="ctr"/>
        <c:lblOffset val="100"/>
        <c:noMultiLvlLbl val="0"/>
      </c:catAx>
      <c:valAx>
        <c:axId val="3114167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1141788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'Sediment Samples'!$N$42</c:f>
              <c:strCache>
                <c:ptCount val="1"/>
                <c:pt idx="0">
                  <c:v>Frequency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'Sediment Samples'!$M$43:$M$54</c:f>
              <c:strCache>
                <c:ptCount val="12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More</c:v>
                </c:pt>
              </c:strCache>
            </c:strRef>
          </c:cat>
          <c:val>
            <c:numRef>
              <c:f>'Sediment Samples'!$N$43:$N$54</c:f>
              <c:numCache>
                <c:formatCode>General</c:formatCode>
                <c:ptCount val="12"/>
                <c:pt idx="0">
                  <c:v>0</c:v>
                </c:pt>
                <c:pt idx="1">
                  <c:v>3</c:v>
                </c:pt>
                <c:pt idx="2">
                  <c:v>3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F8D-4FEE-A373-C2FEBC5F2A1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0184280"/>
        <c:axId val="350184672"/>
      </c:barChart>
      <c:catAx>
        <c:axId val="3501842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50184672"/>
        <c:crosses val="autoZero"/>
        <c:auto val="1"/>
        <c:lblAlgn val="ctr"/>
        <c:lblOffset val="100"/>
        <c:noMultiLvlLbl val="0"/>
      </c:catAx>
      <c:valAx>
        <c:axId val="3501846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5018428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.xml"/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27</xdr:col>
      <xdr:colOff>546724</xdr:colOff>
      <xdr:row>5</xdr:row>
      <xdr:rowOff>698500</xdr:rowOff>
    </xdr:from>
    <xdr:to>
      <xdr:col>35</xdr:col>
      <xdr:colOff>236610</xdr:colOff>
      <xdr:row>30</xdr:row>
      <xdr:rowOff>19277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8964224" y="889000"/>
          <a:ext cx="9214886" cy="8581194"/>
        </a:xfrm>
        <a:prstGeom prst="rect">
          <a:avLst/>
        </a:prstGeom>
      </xdr:spPr>
    </xdr:pic>
    <xdr:clientData/>
  </xdr:twoCellAnchor>
  <xdr:twoCellAnchor editAs="oneCell">
    <xdr:from>
      <xdr:col>36</xdr:col>
      <xdr:colOff>147257</xdr:colOff>
      <xdr:row>5</xdr:row>
      <xdr:rowOff>1580452</xdr:rowOff>
    </xdr:from>
    <xdr:to>
      <xdr:col>43</xdr:col>
      <xdr:colOff>1121835</xdr:colOff>
      <xdr:row>28</xdr:row>
      <xdr:rowOff>1138919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9232757" y="1770952"/>
          <a:ext cx="10086828" cy="7174234"/>
        </a:xfrm>
        <a:prstGeom prst="rect">
          <a:avLst/>
        </a:prstGeom>
      </xdr:spPr>
    </xdr:pic>
    <xdr:clientData/>
  </xdr:twoCellAnchor>
  <xdr:twoCellAnchor>
    <xdr:from>
      <xdr:col>1</xdr:col>
      <xdr:colOff>1016000</xdr:colOff>
      <xdr:row>0</xdr:row>
      <xdr:rowOff>84666</xdr:rowOff>
    </xdr:from>
    <xdr:to>
      <xdr:col>3</xdr:col>
      <xdr:colOff>169333</xdr:colOff>
      <xdr:row>5</xdr:row>
      <xdr:rowOff>952500</xdr:rowOff>
    </xdr:to>
    <xdr:sp macro="" textlink="">
      <xdr:nvSpPr>
        <xdr:cNvPr id="4" name="TextBox 3"/>
        <xdr:cNvSpPr txBox="1"/>
      </xdr:nvSpPr>
      <xdr:spPr>
        <a:xfrm>
          <a:off x="2550583" y="84666"/>
          <a:ext cx="3206750" cy="1767417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THIS SPREADSHEET IS USED TO CALCULATE THE SAND FRACTION (Si) IN THE UPPER 5 METERS OF THE TRUNK CHANNEL. 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43</xdr:col>
      <xdr:colOff>248893</xdr:colOff>
      <xdr:row>18</xdr:row>
      <xdr:rowOff>114301</xdr:rowOff>
    </xdr:from>
    <xdr:to>
      <xdr:col>66</xdr:col>
      <xdr:colOff>99217</xdr:colOff>
      <xdr:row>38</xdr:row>
      <xdr:rowOff>76201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43</xdr:col>
      <xdr:colOff>304800</xdr:colOff>
      <xdr:row>52</xdr:row>
      <xdr:rowOff>0</xdr:rowOff>
    </xdr:from>
    <xdr:to>
      <xdr:col>66</xdr:col>
      <xdr:colOff>155124</xdr:colOff>
      <xdr:row>77</xdr:row>
      <xdr:rowOff>0</xdr:rowOff>
    </xdr:to>
    <xdr:graphicFrame macro="">
      <xdr:nvGraphicFramePr>
        <xdr:cNvPr id="7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18143</xdr:colOff>
      <xdr:row>2</xdr:row>
      <xdr:rowOff>54429</xdr:rowOff>
    </xdr:from>
    <xdr:to>
      <xdr:col>1</xdr:col>
      <xdr:colOff>2349500</xdr:colOff>
      <xdr:row>9</xdr:row>
      <xdr:rowOff>90715</xdr:rowOff>
    </xdr:to>
    <xdr:sp macro="" textlink="">
      <xdr:nvSpPr>
        <xdr:cNvPr id="3" name="TextBox 2"/>
        <xdr:cNvSpPr txBox="1"/>
      </xdr:nvSpPr>
      <xdr:spPr>
        <a:xfrm>
          <a:off x="653143" y="417286"/>
          <a:ext cx="2331357" cy="1306286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THIS SPREADSHEET IS USED TO CALCULATE THE SAND FRACTION IN THE DEPOSIT. SAND FRACTIONS IN EACH TEXTURE ARE TAKEN FROM THE MEASUREMENTS DISPLAYED IN THE 'SEDIMENT SAMPLES' TAB. 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533400</xdr:colOff>
      <xdr:row>3</xdr:row>
      <xdr:rowOff>92528</xdr:rowOff>
    </xdr:from>
    <xdr:to>
      <xdr:col>23</xdr:col>
      <xdr:colOff>228600</xdr:colOff>
      <xdr:row>18</xdr:row>
      <xdr:rowOff>48985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76199</xdr:colOff>
      <xdr:row>21</xdr:row>
      <xdr:rowOff>179614</xdr:rowOff>
    </xdr:from>
    <xdr:to>
      <xdr:col>23</xdr:col>
      <xdr:colOff>380999</xdr:colOff>
      <xdr:row>36</xdr:row>
      <xdr:rowOff>136071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16</xdr:col>
      <xdr:colOff>97971</xdr:colOff>
      <xdr:row>38</xdr:row>
      <xdr:rowOff>179614</xdr:rowOff>
    </xdr:from>
    <xdr:to>
      <xdr:col>23</xdr:col>
      <xdr:colOff>402771</xdr:colOff>
      <xdr:row>53</xdr:row>
      <xdr:rowOff>136071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"/>
  <sheetViews>
    <sheetView tabSelected="1" zoomScale="90" zoomScaleNormal="90" workbookViewId="0">
      <selection activeCell="D8" sqref="D8"/>
    </sheetView>
  </sheetViews>
  <sheetFormatPr defaultRowHeight="14.5" x14ac:dyDescent="0.35"/>
  <cols>
    <col min="1" max="1" width="8.90625" customWidth="1"/>
    <col min="2" max="2" width="19.90625" customWidth="1"/>
    <col min="3" max="4" width="14.7265625" customWidth="1"/>
    <col min="5" max="5" width="14.7265625" style="18" customWidth="1"/>
    <col min="6" max="9" width="14.7265625" customWidth="1"/>
  </cols>
  <sheetData>
    <row r="1" spans="1:9" x14ac:dyDescent="0.35">
      <c r="A1" s="289" t="s">
        <v>263</v>
      </c>
      <c r="B1" s="19"/>
    </row>
    <row r="2" spans="1:9" s="18" customFormat="1" x14ac:dyDescent="0.35">
      <c r="A2" s="19"/>
      <c r="B2" s="19"/>
    </row>
    <row r="3" spans="1:9" s="18" customFormat="1" ht="15" thickBot="1" x14ac:dyDescent="0.4">
      <c r="A3" s="19"/>
      <c r="B3" s="19"/>
    </row>
    <row r="4" spans="1:9" s="284" customFormat="1" ht="29.5" thickBot="1" x14ac:dyDescent="0.4">
      <c r="B4" s="319" t="s">
        <v>217</v>
      </c>
      <c r="C4" s="320" t="s">
        <v>218</v>
      </c>
      <c r="D4" s="321" t="s">
        <v>219</v>
      </c>
      <c r="E4" s="322" t="s">
        <v>221</v>
      </c>
      <c r="F4" s="323" t="s">
        <v>222</v>
      </c>
      <c r="G4" s="321" t="s">
        <v>220</v>
      </c>
      <c r="H4" s="322" t="s">
        <v>223</v>
      </c>
      <c r="I4" s="324" t="s">
        <v>224</v>
      </c>
    </row>
    <row r="5" spans="1:9" ht="29" x14ac:dyDescent="0.35">
      <c r="B5" s="325" t="s">
        <v>208</v>
      </c>
      <c r="C5" s="326">
        <f>Sd!C16/100</f>
        <v>0.23981260672493476</v>
      </c>
      <c r="D5" s="327">
        <f>Sd!D16/100</f>
        <v>0.14628479255332494</v>
      </c>
      <c r="E5" s="327">
        <f>MAX('Sediment Samples'!C5:C12)/100</f>
        <v>0.31592070151597307</v>
      </c>
      <c r="F5" s="327">
        <f>MIN('Sediment Samples'!C5:C12)/100</f>
        <v>0.11057252026242197</v>
      </c>
      <c r="G5" s="328">
        <f>COUNT('Sediment Samples'!F5:F12,'Sediment Samples'!F21:F35)</f>
        <v>23</v>
      </c>
      <c r="H5" s="329">
        <f>Sd!C29+Sd!C28</f>
        <v>0.16984826235927558</v>
      </c>
      <c r="I5" s="330">
        <f>Sd!C55+Sd!C54</f>
        <v>0.11191821361312887</v>
      </c>
    </row>
    <row r="6" spans="1:9" x14ac:dyDescent="0.35">
      <c r="B6" s="325" t="s">
        <v>177</v>
      </c>
      <c r="C6" s="331">
        <f>Sd!C18/100</f>
        <v>4.5404605768171964E-2</v>
      </c>
      <c r="D6" s="332">
        <f>Sd!D18/100</f>
        <v>3.9607887314660993E-2</v>
      </c>
      <c r="E6" s="332">
        <f>MAX('Sediment Samples'!C44:C49)/100</f>
        <v>6.6186226260949999E-2</v>
      </c>
      <c r="F6" s="332">
        <f>MIN('Sediment Samples'!C44:C49)/100</f>
        <v>2.5286716123075995E-2</v>
      </c>
      <c r="G6" s="333">
        <f>COUNT('Sediment Samples'!F44:F49)</f>
        <v>6</v>
      </c>
      <c r="H6" s="334">
        <f>Sd!C30</f>
        <v>0.31815956926089084</v>
      </c>
      <c r="I6" s="335">
        <f>Sd!C56</f>
        <v>0.2335216572504708</v>
      </c>
    </row>
    <row r="7" spans="1:9" x14ac:dyDescent="0.35">
      <c r="B7" s="325" t="s">
        <v>178</v>
      </c>
      <c r="C7" s="331">
        <f>Sd!C19/100</f>
        <v>8.8522290911992822E-3</v>
      </c>
      <c r="D7" s="332">
        <f>Sd!D19/100</f>
        <v>2.9368104762765204E-2</v>
      </c>
      <c r="E7" s="332">
        <f>MAX('Sediment Samples'!C60:C69)/100</f>
        <v>4.4457211385373896E-2</v>
      </c>
      <c r="F7" s="332">
        <f>MIN('Sediment Samples'!C60:C69)/100</f>
        <v>0</v>
      </c>
      <c r="G7" s="333">
        <f>COUNT('Sediment Samples'!F60:F69)</f>
        <v>10</v>
      </c>
      <c r="H7" s="334">
        <f>Sd!C31</f>
        <v>0.40381791483113066</v>
      </c>
      <c r="I7" s="335">
        <f>Sd!C57</f>
        <v>0.4576271186440678</v>
      </c>
    </row>
    <row r="8" spans="1:9" ht="29.5" thickBot="1" x14ac:dyDescent="0.4">
      <c r="B8" s="336" t="s">
        <v>179</v>
      </c>
      <c r="C8" s="337">
        <f>Sd!C20/100</f>
        <v>6.5926977771210192E-3</v>
      </c>
      <c r="D8" s="338">
        <f>Sd!C20/100</f>
        <v>6.5926977771210192E-3</v>
      </c>
      <c r="E8" s="338">
        <f>MAX('Sediment Samples'!C79:C84)/100</f>
        <v>3.2963488885605095E-2</v>
      </c>
      <c r="F8" s="338">
        <f>MIN('Sediment Samples'!C79:C84)/100</f>
        <v>0</v>
      </c>
      <c r="G8" s="339">
        <f>COUNT('Sediment Samples'!F79:F81,'Sediment Samples'!F83:F84,'Sediment Samples'!F93:F101)</f>
        <v>14</v>
      </c>
      <c r="H8" s="340">
        <f>Sd!C33+Sd!C32</f>
        <v>0.10817425354870289</v>
      </c>
      <c r="I8" s="341">
        <f>Sd!C59+Sd!C58</f>
        <v>0.19693301049233253</v>
      </c>
    </row>
    <row r="11" spans="1:9" x14ac:dyDescent="0.35">
      <c r="E11" s="49"/>
      <c r="H11" s="306"/>
      <c r="I11" s="306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32"/>
  <sheetViews>
    <sheetView zoomScaleNormal="100" workbookViewId="0">
      <selection activeCell="B1" sqref="B1"/>
    </sheetView>
  </sheetViews>
  <sheetFormatPr defaultRowHeight="14.5" x14ac:dyDescent="0.35"/>
  <cols>
    <col min="1" max="1" width="1.453125" customWidth="1"/>
    <col min="2" max="2" width="12.81640625" style="289" customWidth="1"/>
    <col min="3" max="3" width="41.08984375" style="52" customWidth="1"/>
    <col min="4" max="8" width="12.6328125" style="10" customWidth="1"/>
  </cols>
  <sheetData>
    <row r="1" spans="2:12" s="18" customFormat="1" x14ac:dyDescent="0.35">
      <c r="B1" s="289" t="s">
        <v>259</v>
      </c>
      <c r="C1" s="52"/>
      <c r="D1" s="10"/>
      <c r="E1" s="10"/>
      <c r="F1" s="10"/>
      <c r="G1" s="10"/>
      <c r="H1" s="10"/>
    </row>
    <row r="2" spans="2:12" s="18" customFormat="1" x14ac:dyDescent="0.35">
      <c r="B2" s="289"/>
      <c r="C2" s="52"/>
      <c r="D2" s="10"/>
      <c r="E2" s="10"/>
      <c r="F2" s="10"/>
      <c r="G2" s="10"/>
      <c r="H2" s="10"/>
    </row>
    <row r="3" spans="2:12" ht="15" thickBot="1" x14ac:dyDescent="0.4"/>
    <row r="4" spans="2:12" s="52" customFormat="1" ht="29" x14ac:dyDescent="0.35">
      <c r="B4" s="419" t="str">
        <f>Si!A96</f>
        <v>River Inputs</v>
      </c>
      <c r="C4" s="291" t="str">
        <f>Si!B96</f>
        <v>bin discharge range (m^3/s)</v>
      </c>
      <c r="D4" s="292" t="str">
        <f>Si!C96</f>
        <v>&lt;15000 m^3/s</v>
      </c>
      <c r="E4" s="292" t="str">
        <f>Si!D96</f>
        <v>15000-20000 m^3/s</v>
      </c>
      <c r="F4" s="292" t="str">
        <f>Si!E96</f>
        <v>20000-25000 m^3/s</v>
      </c>
      <c r="G4" s="292" t="str">
        <f>Si!F96</f>
        <v>25000-30000 m^3/s</v>
      </c>
      <c r="H4" s="293" t="str">
        <f>Si!G96</f>
        <v>&gt;30000 m^3/s</v>
      </c>
    </row>
    <row r="5" spans="2:12" x14ac:dyDescent="0.35">
      <c r="B5" s="420"/>
      <c r="C5" s="290" t="str">
        <f>Si!B97</f>
        <v>average discharge in bin (m^3/s)</v>
      </c>
      <c r="D5" s="281">
        <f>Si!C97</f>
        <v>9657.9291088240534</v>
      </c>
      <c r="E5" s="281">
        <f>Si!D97</f>
        <v>17417.012978419883</v>
      </c>
      <c r="F5" s="281">
        <f>Si!E97</f>
        <v>22448.646821514943</v>
      </c>
      <c r="G5" s="281">
        <f>Si!F97</f>
        <v>27045.41440254834</v>
      </c>
      <c r="H5" s="299">
        <f>Si!G97</f>
        <v>30959.395456395763</v>
      </c>
    </row>
    <row r="6" spans="2:12" x14ac:dyDescent="0.35">
      <c r="B6" s="420"/>
      <c r="C6" s="290" t="str">
        <f>Si!B98</f>
        <v>days spent at this bin Oct 1 1989 - Sept 30 2013</v>
      </c>
      <c r="D6" s="281">
        <f>Si!C98</f>
        <v>5116</v>
      </c>
      <c r="E6" s="281">
        <f>Si!D98</f>
        <v>1302</v>
      </c>
      <c r="F6" s="281">
        <f>Si!E98</f>
        <v>1559</v>
      </c>
      <c r="G6" s="281">
        <f>Si!F98</f>
        <v>673</v>
      </c>
      <c r="H6" s="299">
        <f>Si!G98</f>
        <v>116</v>
      </c>
    </row>
    <row r="7" spans="2:12" x14ac:dyDescent="0.35">
      <c r="B7" s="420"/>
      <c r="C7" s="290" t="str">
        <f>Si!B99</f>
        <v>total water discharge during record (m^3)</v>
      </c>
      <c r="D7" s="300">
        <f>Si!C99</f>
        <v>4269021003712.2695</v>
      </c>
      <c r="E7" s="300">
        <f>Si!D99</f>
        <v>1959288557578.7922</v>
      </c>
      <c r="F7" s="300">
        <f>Si!E99</f>
        <v>3023778850105.6909</v>
      </c>
      <c r="G7" s="300">
        <f>Si!F99</f>
        <v>1572615120347.8589</v>
      </c>
      <c r="H7" s="301">
        <f>Si!G99</f>
        <v>310287445022.18091</v>
      </c>
    </row>
    <row r="8" spans="2:12" ht="29" x14ac:dyDescent="0.35">
      <c r="B8" s="420"/>
      <c r="C8" s="290" t="str">
        <f>Si!B100</f>
        <v>Total suspended sediment discharge during record (metric tons)</v>
      </c>
      <c r="D8" s="300">
        <f>Si!C100</f>
        <v>4983861.5485320473</v>
      </c>
      <c r="E8" s="300">
        <f>Si!D100</f>
        <v>4278750.019397988</v>
      </c>
      <c r="F8" s="300">
        <f>Si!E100</f>
        <v>7058921.471027337</v>
      </c>
      <c r="G8" s="300">
        <f>Si!F100</f>
        <v>3685982.5148368482</v>
      </c>
      <c r="H8" s="301">
        <f>Si!G100</f>
        <v>713454.03107288864</v>
      </c>
      <c r="I8" s="315"/>
    </row>
    <row r="9" spans="2:12" ht="29" x14ac:dyDescent="0.35">
      <c r="B9" s="420"/>
      <c r="C9" s="290" t="str">
        <f>Si!B101</f>
        <v>average sand suspended load, full channel (kg/s)</v>
      </c>
      <c r="D9" s="281">
        <f>Si!C101</f>
        <v>34.0643016159826</v>
      </c>
      <c r="E9" s="281">
        <f>Si!D101</f>
        <v>453.28266773424627</v>
      </c>
      <c r="F9" s="281">
        <f>Si!E101</f>
        <v>964.70710933604948</v>
      </c>
      <c r="G9" s="281">
        <f>Si!F101</f>
        <v>1563.0522724108757</v>
      </c>
      <c r="H9" s="299">
        <f>Si!G101</f>
        <v>2167.8302141173131</v>
      </c>
    </row>
    <row r="10" spans="2:12" ht="29" x14ac:dyDescent="0.35">
      <c r="B10" s="420"/>
      <c r="C10" s="290" t="str">
        <f>Si!B102</f>
        <v>average mud suspended load, full channel (kg/s)</v>
      </c>
      <c r="D10" s="281">
        <f>Si!C102</f>
        <v>940.10722858965607</v>
      </c>
      <c r="E10" s="281">
        <f>Si!D102</f>
        <v>2833.0076697450072</v>
      </c>
      <c r="F10" s="281">
        <f>Si!E102</f>
        <v>3563.1450208931601</v>
      </c>
      <c r="G10" s="281">
        <f>Si!F102</f>
        <v>3913.8905430970708</v>
      </c>
      <c r="H10" s="299">
        <f>Si!G102</f>
        <v>3982.6355709937957</v>
      </c>
    </row>
    <row r="11" spans="2:12" ht="15" thickBot="1" x14ac:dyDescent="0.4">
      <c r="B11" s="421"/>
      <c r="C11" s="294" t="str">
        <f>Si!B103</f>
        <v>sand fraction of total suspended load (-)</v>
      </c>
      <c r="D11" s="278">
        <f>Si!C103</f>
        <v>3.4967457536756327E-2</v>
      </c>
      <c r="E11" s="278">
        <f>Si!D103</f>
        <v>0.13793141237847426</v>
      </c>
      <c r="F11" s="278">
        <f>Si!E103</f>
        <v>0.21306064809303168</v>
      </c>
      <c r="G11" s="278">
        <f>Si!F103</f>
        <v>0.28538772907854693</v>
      </c>
      <c r="H11" s="279">
        <f>Si!G103</f>
        <v>0.35246602287669682</v>
      </c>
    </row>
    <row r="12" spans="2:12" x14ac:dyDescent="0.35">
      <c r="B12" s="422" t="str">
        <f>Si!A104</f>
        <v>Hydraulic Parameters</v>
      </c>
      <c r="C12" s="291" t="str">
        <f>Si!B104</f>
        <v>u* estimate  (m/s)</v>
      </c>
      <c r="D12" s="297">
        <f>Si!C104</f>
        <v>0.06</v>
      </c>
      <c r="E12" s="297">
        <f>Si!D104</f>
        <v>0.06</v>
      </c>
      <c r="F12" s="297">
        <f>Si!E104</f>
        <v>0.06</v>
      </c>
      <c r="G12" s="297">
        <f>Si!F104</f>
        <v>0.09</v>
      </c>
      <c r="H12" s="298">
        <f>Si!G104</f>
        <v>0.09</v>
      </c>
      <c r="K12" s="49"/>
      <c r="L12" s="49"/>
    </row>
    <row r="13" spans="2:12" ht="15" thickBot="1" x14ac:dyDescent="0.4">
      <c r="B13" s="423"/>
      <c r="C13" s="294" t="str">
        <f>Si!B105</f>
        <v>z_0 (m)</v>
      </c>
      <c r="D13" s="295">
        <f>Si!C105</f>
        <v>5.0000000000000001E-4</v>
      </c>
      <c r="E13" s="295">
        <f>Si!D105</f>
        <v>5.0000000000000001E-4</v>
      </c>
      <c r="F13" s="295">
        <f>Si!E105</f>
        <v>5.0000000000000001E-4</v>
      </c>
      <c r="G13" s="295">
        <f>Si!F105</f>
        <v>5.0000000000000001E-4</v>
      </c>
      <c r="H13" s="296">
        <f>Si!G105</f>
        <v>5.0000000000000001E-4</v>
      </c>
      <c r="K13" s="49"/>
      <c r="L13" s="49"/>
    </row>
    <row r="14" spans="2:12" ht="29" x14ac:dyDescent="0.35">
      <c r="B14" s="419" t="s">
        <v>186</v>
      </c>
      <c r="C14" s="291" t="str">
        <f>Si!B106</f>
        <v>average sand concentration per unit width, top 5 m (kg/m^2)</v>
      </c>
      <c r="D14" s="282">
        <f>Si!C106</f>
        <v>0</v>
      </c>
      <c r="E14" s="282">
        <f>Si!D106</f>
        <v>2.5990069256986961</v>
      </c>
      <c r="F14" s="282">
        <f>Si!E106</f>
        <v>5.5312780757934039</v>
      </c>
      <c r="G14" s="282">
        <f>Si!F106</f>
        <v>9.0472641010900254</v>
      </c>
      <c r="H14" s="283">
        <f>Si!G106</f>
        <v>12.547841335833645</v>
      </c>
      <c r="K14" s="49"/>
      <c r="L14" s="49"/>
    </row>
    <row r="15" spans="2:12" ht="29" x14ac:dyDescent="0.35">
      <c r="B15" s="420"/>
      <c r="C15" s="290" t="str">
        <f>Si!B107</f>
        <v>average mud concentration per unit width, top 5 m (kg/m^2)</v>
      </c>
      <c r="D15" s="276">
        <f>Si!C107</f>
        <v>21.015608353664071</v>
      </c>
      <c r="E15" s="276">
        <f>Si!D107</f>
        <v>63.330413637607293</v>
      </c>
      <c r="F15" s="276">
        <f>Si!E107</f>
        <v>79.652254539874036</v>
      </c>
      <c r="G15" s="276">
        <f>Si!F107</f>
        <v>58.328658895810442</v>
      </c>
      <c r="H15" s="277">
        <f>Si!G107</f>
        <v>59.353165135527114</v>
      </c>
      <c r="K15" s="49"/>
      <c r="L15" s="49"/>
    </row>
    <row r="16" spans="2:12" ht="15" thickBot="1" x14ac:dyDescent="0.4">
      <c r="B16" s="421"/>
      <c r="C16" s="294" t="str">
        <f>Si!B108</f>
        <v>average sand fraction (S_i), top 5 m (-)</v>
      </c>
      <c r="D16" s="278">
        <f>Si!C108</f>
        <v>0</v>
      </c>
      <c r="E16" s="278">
        <f>Si!D108</f>
        <v>3.942104910816116E-2</v>
      </c>
      <c r="F16" s="278">
        <f>Si!E108</f>
        <v>6.4933654498100249E-2</v>
      </c>
      <c r="G16" s="278">
        <f>Si!F108</f>
        <v>0.13428037344299137</v>
      </c>
      <c r="H16" s="279">
        <f>Si!G108</f>
        <v>0.17451551725957601</v>
      </c>
      <c r="K16" s="49"/>
      <c r="L16" s="49"/>
    </row>
    <row r="17" spans="2:15" s="18" customFormat="1" x14ac:dyDescent="0.35">
      <c r="B17" s="311"/>
      <c r="C17" s="84"/>
      <c r="D17" s="280"/>
      <c r="E17" s="280"/>
      <c r="F17" s="280"/>
      <c r="G17" s="280"/>
      <c r="H17" s="280"/>
      <c r="K17" s="49"/>
      <c r="L17" s="49"/>
    </row>
    <row r="18" spans="2:15" x14ac:dyDescent="0.35">
      <c r="K18" s="306"/>
    </row>
    <row r="19" spans="2:15" x14ac:dyDescent="0.35">
      <c r="K19" s="306"/>
    </row>
    <row r="20" spans="2:15" x14ac:dyDescent="0.35">
      <c r="K20" s="306"/>
      <c r="M20" s="18"/>
    </row>
    <row r="21" spans="2:15" x14ac:dyDescent="0.35">
      <c r="K21" s="306"/>
      <c r="M21" s="18"/>
    </row>
    <row r="22" spans="2:15" x14ac:dyDescent="0.35">
      <c r="K22" s="306"/>
      <c r="M22" s="18"/>
    </row>
    <row r="23" spans="2:15" ht="15" customHeight="1" x14ac:dyDescent="0.35">
      <c r="M23" s="18"/>
    </row>
    <row r="24" spans="2:15" x14ac:dyDescent="0.35">
      <c r="M24" s="18"/>
    </row>
    <row r="26" spans="2:15" x14ac:dyDescent="0.35">
      <c r="K26" s="306"/>
      <c r="L26" s="306"/>
      <c r="M26" s="306"/>
      <c r="N26" s="306"/>
      <c r="O26" s="306"/>
    </row>
    <row r="28" spans="2:15" x14ac:dyDescent="0.35">
      <c r="K28" s="306"/>
    </row>
    <row r="29" spans="2:15" x14ac:dyDescent="0.35">
      <c r="K29" s="306"/>
    </row>
    <row r="30" spans="2:15" x14ac:dyDescent="0.35">
      <c r="K30" s="306"/>
    </row>
    <row r="31" spans="2:15" x14ac:dyDescent="0.35">
      <c r="K31" s="306"/>
    </row>
    <row r="32" spans="2:15" x14ac:dyDescent="0.35">
      <c r="K32" s="306"/>
    </row>
  </sheetData>
  <mergeCells count="3">
    <mergeCell ref="B14:B16"/>
    <mergeCell ref="B4:B11"/>
    <mergeCell ref="B12:B13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zoomScale="90" zoomScaleNormal="90" workbookViewId="0">
      <selection activeCell="A2" sqref="A2"/>
    </sheetView>
  </sheetViews>
  <sheetFormatPr defaultRowHeight="14.5" x14ac:dyDescent="0.35"/>
  <cols>
    <col min="2" max="2" width="36.453125" style="52" customWidth="1"/>
    <col min="3" max="3" width="19.54296875" style="10" customWidth="1"/>
    <col min="4" max="4" width="11.453125" style="37" customWidth="1"/>
  </cols>
  <sheetData>
    <row r="1" spans="1:4" s="18" customFormat="1" x14ac:dyDescent="0.35">
      <c r="A1" s="289" t="s">
        <v>267</v>
      </c>
      <c r="B1" s="19"/>
    </row>
    <row r="2" spans="1:4" s="18" customFormat="1" x14ac:dyDescent="0.35">
      <c r="A2" s="289" t="s">
        <v>266</v>
      </c>
      <c r="B2" s="19"/>
    </row>
    <row r="4" spans="1:4" s="52" customFormat="1" ht="31" x14ac:dyDescent="0.35">
      <c r="B4" s="342" t="s">
        <v>225</v>
      </c>
      <c r="C4" s="318" t="s">
        <v>210</v>
      </c>
      <c r="D4" s="318" t="s">
        <v>209</v>
      </c>
    </row>
    <row r="5" spans="1:4" x14ac:dyDescent="0.35">
      <c r="B5" s="343" t="s">
        <v>216</v>
      </c>
      <c r="C5" s="317">
        <f>Si!K101</f>
        <v>6.6043764071638117E-2</v>
      </c>
      <c r="D5" s="316">
        <f>C5/Sd!$D$75*100</f>
        <v>1.4583404115946119</v>
      </c>
    </row>
    <row r="6" spans="1:4" s="18" customFormat="1" ht="29" x14ac:dyDescent="0.35">
      <c r="B6" s="344" t="s">
        <v>211</v>
      </c>
      <c r="C6" s="317">
        <f>Si!K102</f>
        <v>5.9834557605054205E-2</v>
      </c>
      <c r="D6" s="316">
        <f>C6/Sd!$D$75*100</f>
        <v>1.3212322857716843</v>
      </c>
    </row>
    <row r="7" spans="1:4" s="18" customFormat="1" x14ac:dyDescent="0.35">
      <c r="B7" s="344" t="s">
        <v>212</v>
      </c>
      <c r="C7" s="317">
        <f>Si!K103</f>
        <v>5.3542237436738402E-2</v>
      </c>
      <c r="D7" s="316">
        <f>C7/Sd!$D$75*100</f>
        <v>1.1822888909919271</v>
      </c>
    </row>
    <row r="8" spans="1:4" x14ac:dyDescent="0.35">
      <c r="B8" s="344" t="s">
        <v>213</v>
      </c>
      <c r="C8" s="317">
        <f>Si!K104</f>
        <v>4.7165123537543631E-2</v>
      </c>
      <c r="D8" s="316">
        <f>C8/Sd!$D$75*100</f>
        <v>1.0414731298180238</v>
      </c>
    </row>
    <row r="9" spans="1:4" s="18" customFormat="1" x14ac:dyDescent="0.35">
      <c r="B9" s="344" t="s">
        <v>214</v>
      </c>
      <c r="C9" s="317">
        <f>Si!K105</f>
        <v>4.0701490291862798E-2</v>
      </c>
      <c r="D9" s="316">
        <f>C9/Sd!$D$75*100</f>
        <v>0.8987468981986666</v>
      </c>
    </row>
    <row r="10" spans="1:4" x14ac:dyDescent="0.35">
      <c r="B10" s="344" t="s">
        <v>215</v>
      </c>
      <c r="C10" s="317">
        <f>Si!K106</f>
        <v>3.4149564940871034E-2</v>
      </c>
      <c r="D10" s="316">
        <f>C10/Sd!$D$75*100</f>
        <v>0.75407105109312911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CC116"/>
  <sheetViews>
    <sheetView zoomScale="60" zoomScaleNormal="60" zoomScaleSheetLayoutView="10" workbookViewId="0">
      <selection activeCell="I102" sqref="I102"/>
    </sheetView>
  </sheetViews>
  <sheetFormatPr defaultColWidth="8.90625" defaultRowHeight="14.5" x14ac:dyDescent="0.35"/>
  <cols>
    <col min="1" max="1" width="21.90625" style="52" customWidth="1"/>
    <col min="2" max="2" width="42.453125" style="18" customWidth="1"/>
    <col min="3" max="7" width="15.6328125" style="18" customWidth="1"/>
    <col min="8" max="10" width="24.81640625" style="18" customWidth="1"/>
    <col min="11" max="11" width="21" style="18" customWidth="1"/>
    <col min="12" max="12" width="16.453125" style="18" customWidth="1"/>
    <col min="13" max="14" width="24.36328125" style="18" customWidth="1"/>
    <col min="15" max="15" width="25.81640625" style="18" customWidth="1"/>
    <col min="16" max="16" width="24.36328125" style="18" customWidth="1"/>
    <col min="17" max="17" width="14.90625" style="18" customWidth="1"/>
    <col min="18" max="18" width="19.08984375" style="18" bestFit="1" customWidth="1"/>
    <col min="19" max="19" width="20" style="18" customWidth="1"/>
    <col min="20" max="20" width="26.36328125" style="18" bestFit="1" customWidth="1"/>
    <col min="21" max="25" width="16.453125" style="18" customWidth="1"/>
    <col min="26" max="33" width="17.36328125" style="18" customWidth="1"/>
    <col min="34" max="41" width="16.1796875" style="18" customWidth="1"/>
    <col min="42" max="42" width="35.1796875" style="18" bestFit="1" customWidth="1"/>
    <col min="43" max="43" width="13.6328125" style="18" bestFit="1" customWidth="1"/>
    <col min="44" max="44" width="16.36328125" style="18" bestFit="1" customWidth="1"/>
    <col min="45" max="45" width="10.36328125" style="18" bestFit="1" customWidth="1"/>
    <col min="46" max="46" width="30.36328125" style="18" bestFit="1" customWidth="1"/>
    <col min="47" max="47" width="21.90625" style="18" bestFit="1" customWidth="1"/>
    <col min="48" max="48" width="33.6328125" style="18" bestFit="1" customWidth="1"/>
    <col min="49" max="49" width="31.6328125" style="18" bestFit="1" customWidth="1"/>
    <col min="50" max="50" width="13.6328125" style="18" bestFit="1" customWidth="1"/>
    <col min="51" max="51" width="10.36328125" style="18" bestFit="1" customWidth="1"/>
    <col min="52" max="55" width="20.08984375" style="18" customWidth="1"/>
    <col min="56" max="56" width="33.6328125" style="18" bestFit="1" customWidth="1"/>
    <col min="57" max="57" width="31.6328125" style="18" bestFit="1" customWidth="1"/>
    <col min="58" max="58" width="13.6328125" style="18" bestFit="1" customWidth="1"/>
    <col min="59" max="60" width="13" style="18" bestFit="1" customWidth="1"/>
    <col min="61" max="64" width="15.36328125" style="18" customWidth="1"/>
    <col min="65" max="65" width="10.36328125" style="18" bestFit="1" customWidth="1"/>
    <col min="66" max="66" width="8.90625" style="18"/>
    <col min="67" max="67" width="10.36328125" style="18" bestFit="1" customWidth="1"/>
    <col min="68" max="74" width="8.90625" style="18"/>
    <col min="75" max="75" width="12.08984375" style="18" bestFit="1" customWidth="1"/>
    <col min="76" max="83" width="8.90625" style="18"/>
    <col min="84" max="84" width="12.08984375" style="18" bestFit="1" customWidth="1"/>
    <col min="85" max="85" width="8.90625" style="18"/>
    <col min="86" max="86" width="12.54296875" style="18" bestFit="1" customWidth="1"/>
    <col min="87" max="109" width="8.90625" style="18"/>
    <col min="110" max="110" width="12.90625" style="18" bestFit="1" customWidth="1"/>
    <col min="111" max="16384" width="8.90625" style="18"/>
  </cols>
  <sheetData>
    <row r="1" spans="1:1" x14ac:dyDescent="0.35">
      <c r="A1" s="415"/>
    </row>
    <row r="6" spans="1:1" ht="101.5" x14ac:dyDescent="0.35">
      <c r="A6" s="67" t="s">
        <v>238</v>
      </c>
    </row>
    <row r="7" spans="1:1" x14ac:dyDescent="0.35">
      <c r="A7" s="18"/>
    </row>
    <row r="8" spans="1:1" x14ac:dyDescent="0.35">
      <c r="A8" s="18"/>
    </row>
    <row r="16" spans="1:1" s="19" customFormat="1" ht="79.25" customHeight="1" x14ac:dyDescent="0.35"/>
    <row r="17" spans="2:27" ht="15" thickBot="1" x14ac:dyDescent="0.4">
      <c r="B17" s="65" t="s">
        <v>229</v>
      </c>
    </row>
    <row r="18" spans="2:27" ht="58" x14ac:dyDescent="0.35">
      <c r="B18" s="356" t="s">
        <v>93</v>
      </c>
      <c r="C18" s="291" t="s">
        <v>98</v>
      </c>
      <c r="D18" s="291" t="s">
        <v>99</v>
      </c>
      <c r="E18" s="291" t="s">
        <v>86</v>
      </c>
      <c r="F18" s="291" t="s">
        <v>94</v>
      </c>
      <c r="G18" s="291" t="s">
        <v>239</v>
      </c>
      <c r="H18" s="291" t="s">
        <v>135</v>
      </c>
      <c r="I18" s="291" t="s">
        <v>136</v>
      </c>
      <c r="J18" s="291" t="s">
        <v>187</v>
      </c>
      <c r="K18" s="357" t="s">
        <v>188</v>
      </c>
    </row>
    <row r="19" spans="2:27" x14ac:dyDescent="0.35">
      <c r="B19" s="358" t="s">
        <v>137</v>
      </c>
      <c r="C19" s="348">
        <v>2943.155659620897</v>
      </c>
      <c r="D19" s="348">
        <v>81225.264550146283</v>
      </c>
      <c r="E19" s="349">
        <f>C19/(C19+D19)</f>
        <v>3.4967457536756327E-2</v>
      </c>
      <c r="F19" s="348">
        <v>30</v>
      </c>
      <c r="G19" s="350">
        <v>0.58361852612365961</v>
      </c>
      <c r="H19" s="350">
        <v>0.28045651851820053</v>
      </c>
      <c r="I19" s="350">
        <v>4.8790975798318446E-2</v>
      </c>
      <c r="J19" s="350">
        <v>0.06</v>
      </c>
      <c r="K19" s="359" t="s">
        <v>100</v>
      </c>
    </row>
    <row r="20" spans="2:27" x14ac:dyDescent="0.35">
      <c r="B20" s="360" t="s">
        <v>138</v>
      </c>
      <c r="C20" s="351">
        <v>39163.622492238879</v>
      </c>
      <c r="D20" s="351">
        <v>244771.86266596866</v>
      </c>
      <c r="E20" s="352">
        <v>0.13793141237847426</v>
      </c>
      <c r="F20" s="351">
        <v>30</v>
      </c>
      <c r="G20" s="352">
        <v>0.14852840520191649</v>
      </c>
      <c r="H20" s="352">
        <v>0.21508808119521253</v>
      </c>
      <c r="I20" s="352">
        <v>0.16523025610045333</v>
      </c>
      <c r="J20" s="352">
        <v>0.06</v>
      </c>
      <c r="K20" s="361">
        <f>$T$31*J20^2</f>
        <v>3.6</v>
      </c>
    </row>
    <row r="21" spans="2:27" x14ac:dyDescent="0.35">
      <c r="B21" s="362" t="s">
        <v>139</v>
      </c>
      <c r="C21" s="353">
        <v>83350.694246634681</v>
      </c>
      <c r="D21" s="353">
        <v>307855.72980516904</v>
      </c>
      <c r="E21" s="354">
        <v>0.21306064809303168</v>
      </c>
      <c r="F21" s="353">
        <v>30</v>
      </c>
      <c r="G21" s="354">
        <v>0.17784622404745609</v>
      </c>
      <c r="H21" s="354">
        <v>0.32391959780328455</v>
      </c>
      <c r="I21" s="354">
        <v>0.42106687080146044</v>
      </c>
      <c r="J21" s="354">
        <v>0.06</v>
      </c>
      <c r="K21" s="363">
        <f>$T$31*J21^2</f>
        <v>3.6</v>
      </c>
    </row>
    <row r="22" spans="2:27" x14ac:dyDescent="0.35">
      <c r="B22" s="364" t="s">
        <v>140</v>
      </c>
      <c r="C22" s="355">
        <v>135047.71633629967</v>
      </c>
      <c r="D22" s="355">
        <v>338160.14292358689</v>
      </c>
      <c r="E22" s="369">
        <v>0.28538772907854693</v>
      </c>
      <c r="F22" s="355">
        <v>30</v>
      </c>
      <c r="G22" s="369">
        <v>7.6773899155829342E-2</v>
      </c>
      <c r="H22" s="369">
        <v>0.15359651106773775</v>
      </c>
      <c r="I22" s="369">
        <v>0.29450864324469078</v>
      </c>
      <c r="J22" s="369">
        <v>0.09</v>
      </c>
      <c r="K22" s="370">
        <f>$T$31*J22^2</f>
        <v>8.1</v>
      </c>
    </row>
    <row r="23" spans="2:27" ht="15" thickBot="1" x14ac:dyDescent="0.4">
      <c r="B23" s="365" t="s">
        <v>141</v>
      </c>
      <c r="C23" s="366">
        <v>187300.53049973582</v>
      </c>
      <c r="D23" s="366">
        <v>344099.71333386394</v>
      </c>
      <c r="E23" s="367">
        <v>0.35246602287669682</v>
      </c>
      <c r="F23" s="366">
        <v>30</v>
      </c>
      <c r="G23" s="367">
        <v>1.3232945471138489E-2</v>
      </c>
      <c r="H23" s="367">
        <v>2.6939291415564639E-2</v>
      </c>
      <c r="I23" s="367">
        <v>7.0403254055077025E-2</v>
      </c>
      <c r="J23" s="367">
        <v>0.09</v>
      </c>
      <c r="K23" s="368">
        <f>$T$31*J23^2</f>
        <v>8.1</v>
      </c>
    </row>
    <row r="27" spans="2:27" s="52" customFormat="1" ht="53" customHeight="1" x14ac:dyDescent="0.35">
      <c r="B27" s="86" t="s">
        <v>243</v>
      </c>
    </row>
    <row r="28" spans="2:27" ht="15" thickBot="1" x14ac:dyDescent="0.4">
      <c r="B28" s="65" t="s">
        <v>230</v>
      </c>
      <c r="C28" s="92"/>
      <c r="D28" s="92"/>
      <c r="E28" s="92"/>
      <c r="F28" s="92"/>
      <c r="G28" s="92"/>
      <c r="H28" s="65" t="s">
        <v>231</v>
      </c>
      <c r="I28" s="92"/>
      <c r="J28" s="65"/>
      <c r="K28" s="65"/>
      <c r="L28" s="65"/>
      <c r="M28" s="65"/>
      <c r="O28" s="86"/>
      <c r="S28" s="86" t="s">
        <v>95</v>
      </c>
      <c r="T28" s="52"/>
    </row>
    <row r="29" spans="2:27" ht="109" customHeight="1" thickBot="1" x14ac:dyDescent="0.4">
      <c r="B29" s="87" t="s">
        <v>232</v>
      </c>
      <c r="C29" s="88" t="s">
        <v>72</v>
      </c>
      <c r="D29" s="89" t="s">
        <v>73</v>
      </c>
      <c r="E29" s="89" t="s">
        <v>76</v>
      </c>
      <c r="F29" s="89" t="s">
        <v>79</v>
      </c>
      <c r="G29" s="90" t="s">
        <v>235</v>
      </c>
      <c r="H29" s="87" t="s">
        <v>233</v>
      </c>
      <c r="I29" s="88" t="s">
        <v>72</v>
      </c>
      <c r="J29" s="89" t="s">
        <v>73</v>
      </c>
      <c r="K29" s="89" t="s">
        <v>234</v>
      </c>
      <c r="L29" s="89" t="s">
        <v>79</v>
      </c>
      <c r="M29" s="90" t="s">
        <v>236</v>
      </c>
      <c r="O29" s="86" t="s">
        <v>237</v>
      </c>
      <c r="S29" s="68" t="s">
        <v>83</v>
      </c>
      <c r="T29" s="22">
        <v>0.41</v>
      </c>
      <c r="V29" s="65" t="s">
        <v>96</v>
      </c>
    </row>
    <row r="30" spans="2:27" ht="43.5" x14ac:dyDescent="0.35">
      <c r="B30" s="139" t="s">
        <v>100</v>
      </c>
      <c r="C30" s="137" t="s">
        <v>100</v>
      </c>
      <c r="D30" s="140" t="s">
        <v>100</v>
      </c>
      <c r="E30" s="140" t="s">
        <v>100</v>
      </c>
      <c r="F30" s="140" t="s">
        <v>100</v>
      </c>
      <c r="G30" s="138" t="s">
        <v>100</v>
      </c>
      <c r="H30" s="139" t="s">
        <v>100</v>
      </c>
      <c r="I30" s="137" t="s">
        <v>100</v>
      </c>
      <c r="J30" s="140" t="s">
        <v>100</v>
      </c>
      <c r="K30" s="140" t="s">
        <v>100</v>
      </c>
      <c r="L30" s="140" t="s">
        <v>100</v>
      </c>
      <c r="M30" s="138" t="s">
        <v>100</v>
      </c>
      <c r="O30" s="68" t="s">
        <v>77</v>
      </c>
      <c r="P30" s="22"/>
      <c r="S30" s="69" t="s">
        <v>74</v>
      </c>
      <c r="T30" s="15">
        <v>2650</v>
      </c>
      <c r="V30" s="68" t="s">
        <v>71</v>
      </c>
      <c r="W30" s="21" t="s">
        <v>90</v>
      </c>
      <c r="X30" s="72" t="s">
        <v>80</v>
      </c>
      <c r="Y30" s="71" t="s">
        <v>244</v>
      </c>
      <c r="Z30" s="72" t="s">
        <v>87</v>
      </c>
      <c r="AA30" s="347" t="s">
        <v>81</v>
      </c>
    </row>
    <row r="31" spans="2:27" ht="29" x14ac:dyDescent="0.35">
      <c r="B31" s="256">
        <f>$J20*$V$31/$T$33</f>
        <v>7.5000000000000009</v>
      </c>
      <c r="C31" s="73">
        <v>3.1E-2</v>
      </c>
      <c r="D31" s="132">
        <f>C31*($T$30-$T$31)*$T$34*$V$31</f>
        <v>6.2658750000000013E-2</v>
      </c>
      <c r="E31" s="133">
        <f>$K20/D31</f>
        <v>57.454066670656523</v>
      </c>
      <c r="F31" s="132">
        <f>$V$31*($P$31*E31)/(1+$P$33*E31)</f>
        <v>5.5256200760528679E-5</v>
      </c>
      <c r="G31" s="99">
        <f>$Z$31/($T$29*$J20)</f>
        <v>0.35155091284750462</v>
      </c>
      <c r="H31" s="256">
        <f>$J20*$V$33/$T$33</f>
        <v>15.000000000000002</v>
      </c>
      <c r="I31" s="73">
        <v>3.1E-2</v>
      </c>
      <c r="J31" s="132">
        <f>I31*($T$30-$T$31)*$T$34*$V$33</f>
        <v>0.12531750000000003</v>
      </c>
      <c r="K31" s="133">
        <f>$K20/J31</f>
        <v>28.727033335328262</v>
      </c>
      <c r="L31" s="132">
        <f>$V$33*($P$31*K31)/(1+$P$32*K31)</f>
        <v>1.2814878361970625E-4</v>
      </c>
      <c r="M31" s="99">
        <f>$Z$33/($T$29*$J20)</f>
        <v>0.91271302073052019</v>
      </c>
      <c r="O31" s="69" t="s">
        <v>78</v>
      </c>
      <c r="P31" s="15">
        <v>0.68</v>
      </c>
      <c r="S31" s="69" t="s">
        <v>69</v>
      </c>
      <c r="T31" s="82">
        <v>1000</v>
      </c>
      <c r="V31" s="75">
        <f>0.000125</f>
        <v>1.25E-4</v>
      </c>
      <c r="W31" s="19">
        <v>0.35</v>
      </c>
      <c r="X31" s="16">
        <f>($T$30-$T$31)*$T$34*(V31^3)/($T$31*$T$33^2)</f>
        <v>31.582031250000004</v>
      </c>
      <c r="Y31" s="76">
        <v>0.04</v>
      </c>
      <c r="Z31" s="16">
        <f>(Y31*($T$30-$T$31)*$T$34*$T$33/$T$31)^(1/3)</f>
        <v>8.648152456048613E-3</v>
      </c>
      <c r="AA31" s="77">
        <f>$T$34*(V31^2)*($T$30-$T$31)/(18*$T$32)</f>
        <v>1.4036458333333331E-2</v>
      </c>
    </row>
    <row r="32" spans="2:27" ht="29" x14ac:dyDescent="0.35">
      <c r="B32" s="257">
        <f>$J21*$V$31/$T$33</f>
        <v>7.5000000000000009</v>
      </c>
      <c r="C32" s="73">
        <v>3.1E-2</v>
      </c>
      <c r="D32" s="130">
        <f>C32*($T$30-$T$31)*$T$34*$V$31</f>
        <v>6.2658750000000013E-2</v>
      </c>
      <c r="E32" s="131">
        <f>$K21/D32</f>
        <v>57.454066670656523</v>
      </c>
      <c r="F32" s="130">
        <f>$V$31*($P$31*E32)/(1+$P$33*E32)</f>
        <v>5.5256200760528679E-5</v>
      </c>
      <c r="G32" s="110">
        <f>$Z$31/($T$29*$J21)</f>
        <v>0.35155091284750462</v>
      </c>
      <c r="H32" s="257">
        <f>$J21*$V$33/$T$33</f>
        <v>15.000000000000002</v>
      </c>
      <c r="I32" s="73">
        <v>3.1E-2</v>
      </c>
      <c r="J32" s="130">
        <f>I32*($T$30-$T$31)*$T$34*$V$33</f>
        <v>0.12531750000000003</v>
      </c>
      <c r="K32" s="131">
        <f>$K21/J32</f>
        <v>28.727033335328262</v>
      </c>
      <c r="L32" s="130">
        <f>$V$33*($P$31*K32)/(1+$P$32*K32)</f>
        <v>1.2814878361970625E-4</v>
      </c>
      <c r="M32" s="110">
        <f>$Z$33/($T$29*$J21)</f>
        <v>0.91271302073052019</v>
      </c>
      <c r="O32" s="93" t="s">
        <v>91</v>
      </c>
      <c r="P32" s="15">
        <f>0.0204*(LN(V33))^2+0.022*(LN(V33))+0.0709</f>
        <v>1.2917726003402779</v>
      </c>
      <c r="S32" s="69" t="s">
        <v>82</v>
      </c>
      <c r="T32" s="82">
        <f>0.001</f>
        <v>1E-3</v>
      </c>
      <c r="V32" s="75">
        <f>0.00015</f>
        <v>1.4999999999999999E-4</v>
      </c>
      <c r="W32" s="19">
        <v>0</v>
      </c>
      <c r="X32" s="16">
        <f>($T$30-$T$31)*$T$34*(V32^3)/($T$31*$T$33^2)</f>
        <v>54.57374999999999</v>
      </c>
      <c r="Y32" s="76">
        <v>0.13</v>
      </c>
      <c r="Z32" s="16">
        <f>(Y32*($T$30-$T$31)*$T$34*$T$33/$T$31)^(1/3)</f>
        <v>1.2810058825015791E-2</v>
      </c>
      <c r="AA32" s="77">
        <f>$T$34*(V32^2)*($T$30-$T$31)/(18*$T$32)</f>
        <v>2.0212499999999994E-2</v>
      </c>
    </row>
    <row r="33" spans="1:79" ht="29.5" thickBot="1" x14ac:dyDescent="0.4">
      <c r="B33" s="257">
        <f>$J22*$V$31/$T$33</f>
        <v>11.25</v>
      </c>
      <c r="C33" s="73">
        <v>3.1E-2</v>
      </c>
      <c r="D33" s="130">
        <f>C33*($T$30-$T$31)*$T$34*$V$31</f>
        <v>6.2658750000000013E-2</v>
      </c>
      <c r="E33" s="131">
        <f>$K22/D33</f>
        <v>129.27165000897716</v>
      </c>
      <c r="F33" s="130">
        <f>$V$31*($P$31*E33)/(1+$P$33*E33)</f>
        <v>5.5605733928631262E-5</v>
      </c>
      <c r="G33" s="110">
        <f>$Z$31/($T$29*$J22)</f>
        <v>0.23436727523166975</v>
      </c>
      <c r="H33" s="257">
        <f>$J22*$V$33/$T$33</f>
        <v>22.5</v>
      </c>
      <c r="I33" s="73">
        <v>3.2000000000000001E-2</v>
      </c>
      <c r="J33" s="130">
        <f>I33*($T$30-$T$31)*$T$34*$V$33</f>
        <v>0.12936</v>
      </c>
      <c r="K33" s="131">
        <f>$K22/J33</f>
        <v>62.615955473098325</v>
      </c>
      <c r="L33" s="130">
        <f>$V$33*($P$31*K33)/(1+$P$32*K33)</f>
        <v>1.2999496369505955E-4</v>
      </c>
      <c r="M33" s="110">
        <f>$Z$33/($T$29*$J22)</f>
        <v>0.60847534715368012</v>
      </c>
      <c r="O33" s="91" t="s">
        <v>92</v>
      </c>
      <c r="P33" s="51">
        <f>0.0204*(LN(V31))^2+0.022*(LN(V31))+0.0709</f>
        <v>1.5208836864890971</v>
      </c>
      <c r="S33" s="69" t="s">
        <v>70</v>
      </c>
      <c r="T33" s="83">
        <v>9.9999999999999995E-7</v>
      </c>
      <c r="V33" s="78">
        <f>0.00025</f>
        <v>2.5000000000000001E-4</v>
      </c>
      <c r="W33" s="23">
        <v>0.65</v>
      </c>
      <c r="X33" s="79">
        <f>($T$30-$T$31)*$T$34*(V33^3)/($T$31*$T$33^2)</f>
        <v>252.65625000000003</v>
      </c>
      <c r="Y33" s="80">
        <v>0.7</v>
      </c>
      <c r="Z33" s="79">
        <f>(Y33*($T$30-$T$31)*$T$34*$T$33/$T$31)^(1/3)</f>
        <v>2.2452740309970794E-2</v>
      </c>
      <c r="AA33" s="81">
        <f>$T$34*(V33^2)*($T$30-$T$31)/(18*$T$32)</f>
        <v>5.6145833333333325E-2</v>
      </c>
    </row>
    <row r="34" spans="1:79" ht="29.5" thickBot="1" x14ac:dyDescent="0.4">
      <c r="B34" s="258">
        <f>$J23*$V$31/$T$33</f>
        <v>11.25</v>
      </c>
      <c r="C34" s="74">
        <v>3.1E-2</v>
      </c>
      <c r="D34" s="135">
        <f>C34*($T$30-$T$31)*$T$34*$V$31</f>
        <v>6.2658750000000013E-2</v>
      </c>
      <c r="E34" s="136">
        <f>$K23/D34</f>
        <v>129.27165000897716</v>
      </c>
      <c r="F34" s="135">
        <f>$V$31*($P$31*E34)/(1+$P$33*E34)</f>
        <v>5.5605733928631262E-5</v>
      </c>
      <c r="G34" s="134">
        <f>$Z$31/($T$29*$J23)</f>
        <v>0.23436727523166975</v>
      </c>
      <c r="H34" s="258">
        <f>$J23*$V$33/$T$33</f>
        <v>22.5</v>
      </c>
      <c r="I34" s="74">
        <v>3.1E-2</v>
      </c>
      <c r="J34" s="135">
        <f>I34*($T$30-$T$31)*$T$34*$V$33</f>
        <v>0.12531750000000003</v>
      </c>
      <c r="K34" s="136">
        <f>$K23/J34</f>
        <v>64.635825004488581</v>
      </c>
      <c r="L34" s="135">
        <f>$V$33*($P$31*K34)/(1+$P$32*K34)</f>
        <v>1.3004459262529002E-4</v>
      </c>
      <c r="M34" s="134">
        <f>$Z$33/($T$29*$J23)</f>
        <v>0.60847534715368012</v>
      </c>
      <c r="S34" s="70" t="s">
        <v>75</v>
      </c>
      <c r="T34" s="51">
        <v>9.8000000000000007</v>
      </c>
    </row>
    <row r="35" spans="1:79" x14ac:dyDescent="0.35">
      <c r="O35" s="285"/>
      <c r="P35" s="19"/>
    </row>
    <row r="36" spans="1:79" ht="15.5" x14ac:dyDescent="0.35">
      <c r="K36" s="142"/>
      <c r="L36" s="29"/>
      <c r="M36" s="142"/>
      <c r="N36" s="142"/>
      <c r="O36" s="142"/>
      <c r="BD36" s="94"/>
    </row>
    <row r="37" spans="1:79" s="65" customFormat="1" x14ac:dyDescent="0.35"/>
    <row r="38" spans="1:79" x14ac:dyDescent="0.35">
      <c r="B38" s="54"/>
      <c r="C38" s="142"/>
      <c r="D38" s="142"/>
      <c r="E38" s="85"/>
      <c r="F38" s="85"/>
      <c r="G38" s="85"/>
      <c r="H38" s="85"/>
    </row>
    <row r="39" spans="1:79" x14ac:dyDescent="0.35">
      <c r="B39" s="373" t="s">
        <v>251</v>
      </c>
      <c r="C39" s="142"/>
      <c r="D39" s="142"/>
      <c r="E39" s="85"/>
      <c r="F39" s="85"/>
      <c r="G39" s="85"/>
      <c r="H39" s="85"/>
    </row>
    <row r="40" spans="1:79" x14ac:dyDescent="0.35">
      <c r="B40" s="373"/>
      <c r="C40" s="142"/>
      <c r="D40" s="142"/>
      <c r="E40" s="85"/>
      <c r="F40" s="85"/>
      <c r="G40" s="85"/>
      <c r="H40" s="85"/>
    </row>
    <row r="41" spans="1:79" x14ac:dyDescent="0.35">
      <c r="B41" s="54"/>
      <c r="C41" s="54"/>
      <c r="E41" s="142"/>
    </row>
    <row r="42" spans="1:79" ht="15" thickBot="1" x14ac:dyDescent="0.4">
      <c r="B42" s="65"/>
      <c r="C42" s="65"/>
      <c r="E42" s="18" t="s">
        <v>133</v>
      </c>
      <c r="F42" s="18">
        <f>C102/SUM(F45:F75)</f>
        <v>21.015608353664071</v>
      </c>
      <c r="L42" s="18" t="s">
        <v>133</v>
      </c>
      <c r="M42" s="18">
        <f>D102/SUM(L45:L75)</f>
        <v>63.3304136376073</v>
      </c>
      <c r="O42" s="18" t="s">
        <v>133</v>
      </c>
      <c r="P42" s="18">
        <f>D101*W31/SUM(R45:R75)</f>
        <v>6.5009308958230454</v>
      </c>
      <c r="T42" s="18" t="s">
        <v>133</v>
      </c>
      <c r="U42" s="18">
        <f>D101*W33/SUM(X45:X74)</f>
        <v>14.256069296741563</v>
      </c>
      <c r="Z42" s="18" t="s">
        <v>133</v>
      </c>
      <c r="AA42" s="18">
        <f>E102/SUM(AD45:AD75)</f>
        <v>79.652254539874036</v>
      </c>
      <c r="AF42" s="18" t="s">
        <v>133</v>
      </c>
      <c r="AG42" s="18">
        <f>E101*W31/SUM(AJ45:AJ75)</f>
        <v>13.835724811299778</v>
      </c>
      <c r="AL42" s="18" t="s">
        <v>133</v>
      </c>
      <c r="AM42" s="18">
        <f>E101*W33/SUM(AP45:AP75)</f>
        <v>30.339138126005796</v>
      </c>
      <c r="AT42" s="18" t="s">
        <v>133</v>
      </c>
      <c r="AU42" s="18">
        <f>F102/SUM(AV45:AV75)</f>
        <v>58.328658895810442</v>
      </c>
      <c r="AX42" s="18" t="s">
        <v>133</v>
      </c>
      <c r="AY42" s="18">
        <f>F101*W31/SUM(BB45:BB75)</f>
        <v>13.382075470457938</v>
      </c>
      <c r="BD42" s="18" t="s">
        <v>133</v>
      </c>
      <c r="BE42" s="18">
        <f>F101*W33/SUM(BH45:BH75)</f>
        <v>31.10052178303884</v>
      </c>
      <c r="BL42" s="18" t="s">
        <v>133</v>
      </c>
      <c r="BM42" s="18">
        <f>G102/SUM(BN45:BN75)</f>
        <v>59.353165135527114</v>
      </c>
      <c r="BP42" s="18" t="s">
        <v>133</v>
      </c>
      <c r="BQ42" s="18">
        <f>G101*W31/SUM(BT45:BT75)</f>
        <v>18.559883149468384</v>
      </c>
      <c r="BV42" s="18" t="s">
        <v>133</v>
      </c>
      <c r="BW42" s="18">
        <f>G101*W33/SUM(BZ45:BZ75)</f>
        <v>43.133970785407634</v>
      </c>
    </row>
    <row r="43" spans="1:79" s="52" customFormat="1" x14ac:dyDescent="0.35">
      <c r="B43" s="95" t="str">
        <f>B19</f>
        <v>&lt;15000 m^3/s</v>
      </c>
      <c r="C43" s="206"/>
      <c r="D43" s="174"/>
      <c r="E43" s="95" t="s">
        <v>130</v>
      </c>
      <c r="F43" s="164"/>
      <c r="G43" s="164"/>
      <c r="H43" s="97" t="str">
        <f>B20</f>
        <v>15000-20000 m^3/s</v>
      </c>
      <c r="I43" s="175"/>
      <c r="J43" s="103"/>
      <c r="K43" s="103" t="s">
        <v>130</v>
      </c>
      <c r="L43" s="167"/>
      <c r="M43" s="167"/>
      <c r="N43" s="103" t="s">
        <v>89</v>
      </c>
      <c r="O43" s="167"/>
      <c r="P43" s="167"/>
      <c r="Q43" s="167"/>
      <c r="R43" s="167"/>
      <c r="S43" s="167"/>
      <c r="T43" s="103" t="s">
        <v>88</v>
      </c>
      <c r="U43" s="167"/>
      <c r="V43" s="167"/>
      <c r="W43" s="167"/>
      <c r="X43" s="167"/>
      <c r="Y43" s="167"/>
      <c r="Z43" s="108" t="str">
        <f>B21</f>
        <v>20000-25000 m^3/s</v>
      </c>
      <c r="AA43" s="176"/>
      <c r="AB43" s="374"/>
      <c r="AC43" s="170" t="s">
        <v>130</v>
      </c>
      <c r="AD43" s="170"/>
      <c r="AE43" s="170"/>
      <c r="AF43" s="114" t="s">
        <v>89</v>
      </c>
      <c r="AG43" s="170"/>
      <c r="AH43" s="170"/>
      <c r="AI43" s="170"/>
      <c r="AJ43" s="170"/>
      <c r="AK43" s="170"/>
      <c r="AL43" s="114" t="s">
        <v>88</v>
      </c>
      <c r="AM43" s="170"/>
      <c r="AN43" s="170"/>
      <c r="AO43" s="170"/>
      <c r="AP43" s="170"/>
      <c r="AQ43" s="170"/>
      <c r="AR43" s="178" t="s">
        <v>97</v>
      </c>
      <c r="AS43" s="179"/>
      <c r="AT43" s="377"/>
      <c r="AU43" s="180" t="s">
        <v>130</v>
      </c>
      <c r="AV43" s="180"/>
      <c r="AW43" s="180"/>
      <c r="AX43" s="185" t="s">
        <v>89</v>
      </c>
      <c r="AY43" s="180"/>
      <c r="AZ43" s="180"/>
      <c r="BA43" s="180"/>
      <c r="BB43" s="180"/>
      <c r="BC43" s="180"/>
      <c r="BD43" s="185" t="s">
        <v>88</v>
      </c>
      <c r="BE43" s="180"/>
      <c r="BF43" s="180"/>
      <c r="BG43" s="180"/>
      <c r="BH43" s="186"/>
      <c r="BI43" s="186"/>
      <c r="BJ43" s="120" t="s">
        <v>97</v>
      </c>
      <c r="BK43" s="177"/>
      <c r="BL43" s="381"/>
      <c r="BM43" s="171" t="s">
        <v>130</v>
      </c>
      <c r="BN43" s="171"/>
      <c r="BO43" s="171"/>
      <c r="BP43" s="125" t="s">
        <v>89</v>
      </c>
      <c r="BQ43" s="171"/>
      <c r="BR43" s="171"/>
      <c r="BS43" s="171"/>
      <c r="BT43" s="171"/>
      <c r="BU43" s="171"/>
      <c r="BV43" s="125" t="s">
        <v>88</v>
      </c>
      <c r="BW43" s="171"/>
      <c r="BX43" s="171"/>
      <c r="BY43" s="171"/>
      <c r="BZ43" s="165"/>
      <c r="CA43" s="166"/>
    </row>
    <row r="44" spans="1:79" s="385" customFormat="1" ht="145" x14ac:dyDescent="0.35">
      <c r="B44" s="386" t="s">
        <v>85</v>
      </c>
      <c r="C44" s="405" t="s">
        <v>84</v>
      </c>
      <c r="D44" s="387" t="s">
        <v>127</v>
      </c>
      <c r="E44" s="386" t="s">
        <v>248</v>
      </c>
      <c r="F44" s="388" t="s">
        <v>132</v>
      </c>
      <c r="G44" s="388" t="s">
        <v>250</v>
      </c>
      <c r="H44" s="389" t="s">
        <v>85</v>
      </c>
      <c r="I44" s="390" t="s">
        <v>84</v>
      </c>
      <c r="J44" s="389" t="s">
        <v>127</v>
      </c>
      <c r="K44" s="391" t="s">
        <v>248</v>
      </c>
      <c r="L44" s="392" t="s">
        <v>129</v>
      </c>
      <c r="M44" s="101" t="s">
        <v>250</v>
      </c>
      <c r="N44" s="389" t="s">
        <v>245</v>
      </c>
      <c r="O44" s="392" t="s">
        <v>246</v>
      </c>
      <c r="P44" s="392" t="s">
        <v>247</v>
      </c>
      <c r="Q44" s="392" t="s">
        <v>249</v>
      </c>
      <c r="R44" s="392" t="s">
        <v>129</v>
      </c>
      <c r="S44" s="101" t="s">
        <v>250</v>
      </c>
      <c r="T44" s="389" t="s">
        <v>245</v>
      </c>
      <c r="U44" s="392" t="s">
        <v>246</v>
      </c>
      <c r="V44" s="392" t="s">
        <v>247</v>
      </c>
      <c r="W44" s="392" t="s">
        <v>249</v>
      </c>
      <c r="X44" s="392" t="s">
        <v>129</v>
      </c>
      <c r="Y44" s="101" t="s">
        <v>250</v>
      </c>
      <c r="Z44" s="393" t="s">
        <v>85</v>
      </c>
      <c r="AA44" s="394" t="s">
        <v>84</v>
      </c>
      <c r="AB44" s="395" t="s">
        <v>127</v>
      </c>
      <c r="AC44" s="396" t="s">
        <v>248</v>
      </c>
      <c r="AD44" s="396" t="s">
        <v>129</v>
      </c>
      <c r="AE44" s="112" t="s">
        <v>250</v>
      </c>
      <c r="AF44" s="406" t="s">
        <v>245</v>
      </c>
      <c r="AG44" s="396" t="s">
        <v>246</v>
      </c>
      <c r="AH44" s="396" t="s">
        <v>247</v>
      </c>
      <c r="AI44" s="396" t="s">
        <v>249</v>
      </c>
      <c r="AJ44" s="396" t="s">
        <v>129</v>
      </c>
      <c r="AK44" s="112" t="s">
        <v>250</v>
      </c>
      <c r="AL44" s="406" t="s">
        <v>245</v>
      </c>
      <c r="AM44" s="396" t="s">
        <v>246</v>
      </c>
      <c r="AN44" s="396" t="s">
        <v>247</v>
      </c>
      <c r="AO44" s="396" t="s">
        <v>249</v>
      </c>
      <c r="AP44" s="396" t="s">
        <v>129</v>
      </c>
      <c r="AQ44" s="112" t="s">
        <v>250</v>
      </c>
      <c r="AR44" s="397" t="s">
        <v>85</v>
      </c>
      <c r="AS44" s="398" t="s">
        <v>84</v>
      </c>
      <c r="AT44" s="399" t="s">
        <v>127</v>
      </c>
      <c r="AU44" s="400" t="s">
        <v>248</v>
      </c>
      <c r="AV44" s="400" t="s">
        <v>129</v>
      </c>
      <c r="AW44" s="187" t="s">
        <v>250</v>
      </c>
      <c r="AX44" s="407" t="s">
        <v>245</v>
      </c>
      <c r="AY44" s="400" t="s">
        <v>246</v>
      </c>
      <c r="AZ44" s="400" t="s">
        <v>247</v>
      </c>
      <c r="BA44" s="400" t="s">
        <v>249</v>
      </c>
      <c r="BB44" s="400" t="s">
        <v>129</v>
      </c>
      <c r="BC44" s="187" t="s">
        <v>250</v>
      </c>
      <c r="BD44" s="407" t="s">
        <v>245</v>
      </c>
      <c r="BE44" s="400" t="s">
        <v>246</v>
      </c>
      <c r="BF44" s="400" t="s">
        <v>247</v>
      </c>
      <c r="BG44" s="400" t="s">
        <v>249</v>
      </c>
      <c r="BH44" s="400" t="s">
        <v>129</v>
      </c>
      <c r="BI44" s="198" t="s">
        <v>250</v>
      </c>
      <c r="BJ44" s="401" t="s">
        <v>85</v>
      </c>
      <c r="BK44" s="402" t="s">
        <v>84</v>
      </c>
      <c r="BL44" s="403" t="s">
        <v>127</v>
      </c>
      <c r="BM44" s="404" t="s">
        <v>248</v>
      </c>
      <c r="BN44" s="404" t="s">
        <v>129</v>
      </c>
      <c r="BO44" s="123" t="s">
        <v>250</v>
      </c>
      <c r="BP44" s="408" t="s">
        <v>245</v>
      </c>
      <c r="BQ44" s="404" t="s">
        <v>246</v>
      </c>
      <c r="BR44" s="404" t="s">
        <v>247</v>
      </c>
      <c r="BS44" s="404" t="s">
        <v>249</v>
      </c>
      <c r="BT44" s="404" t="s">
        <v>129</v>
      </c>
      <c r="BU44" s="123" t="s">
        <v>250</v>
      </c>
      <c r="BV44" s="408" t="s">
        <v>245</v>
      </c>
      <c r="BW44" s="404" t="s">
        <v>246</v>
      </c>
      <c r="BX44" s="404" t="s">
        <v>247</v>
      </c>
      <c r="BY44" s="404" t="s">
        <v>249</v>
      </c>
      <c r="BZ44" s="404" t="s">
        <v>129</v>
      </c>
      <c r="CA44" s="202" t="s">
        <v>250</v>
      </c>
    </row>
    <row r="45" spans="1:79" s="66" customFormat="1" x14ac:dyDescent="0.35">
      <c r="A45" s="190"/>
      <c r="B45" s="191">
        <v>0.01</v>
      </c>
      <c r="C45" s="191">
        <f t="shared" ref="C45:C75" si="0">$F$20-B45</f>
        <v>29.99</v>
      </c>
      <c r="D45" s="192">
        <f t="shared" ref="D45:D75" si="1">($C$104/$T$29)*LN(B45/$C$105)</f>
        <v>0.43839984491034012</v>
      </c>
      <c r="E45" s="193">
        <v>1</v>
      </c>
      <c r="F45" s="194">
        <f t="shared" ref="F45:F75" si="2">E45*D45</f>
        <v>0.43839984491034012</v>
      </c>
      <c r="G45" s="194">
        <f t="shared" ref="G45:G75" si="3">E45*$F$42</f>
        <v>21.015608353664071</v>
      </c>
      <c r="H45" s="195">
        <v>0.01</v>
      </c>
      <c r="I45" s="102">
        <f t="shared" ref="I45:I75" si="4">$F$20-H45</f>
        <v>29.99</v>
      </c>
      <c r="J45" s="100">
        <f t="shared" ref="J45:J75" si="5">($D$104/$T$29)*LN(H45/$D$105)</f>
        <v>0.43839984491034012</v>
      </c>
      <c r="K45" s="100">
        <v>1</v>
      </c>
      <c r="L45" s="101">
        <f t="shared" ref="L45:L75" si="6">K45*J45</f>
        <v>0.43839984491034012</v>
      </c>
      <c r="M45" s="101">
        <f t="shared" ref="M45:M75" si="7">K45*$M$42</f>
        <v>63.3304136376073</v>
      </c>
      <c r="N45" s="100">
        <f t="shared" ref="N45:N75" si="8">(I45/H45-$F$31/($F$20-$F$31))^$G$31</f>
        <v>16.685308865706059</v>
      </c>
      <c r="O45" s="101">
        <f>N45/(1+N45)</f>
        <v>0.94345589282078524</v>
      </c>
      <c r="P45" s="101">
        <f>AVERAGE(O45:O46)</f>
        <v>0.85454096711141014</v>
      </c>
      <c r="Q45" s="101">
        <v>1</v>
      </c>
      <c r="R45" s="101">
        <f>Q45*J45</f>
        <v>0.43839984491034012</v>
      </c>
      <c r="S45" s="101">
        <f>Q45*$P$42</f>
        <v>6.5009308958230454</v>
      </c>
      <c r="T45" s="100">
        <f t="shared" ref="T45:T75" si="9">(I45/H45-$L$31/($F$21-$L$31))^$M$31</f>
        <v>1491.0139010947105</v>
      </c>
      <c r="U45" s="101">
        <f t="shared" ref="U45:U75" si="10">T45/(1+T45)</f>
        <v>0.99932976495777537</v>
      </c>
      <c r="V45" s="101">
        <f t="shared" ref="V45:V74" si="11">AVERAGE(U45:U46)</f>
        <v>0.97755539025329985</v>
      </c>
      <c r="W45" s="101">
        <f t="shared" ref="W45:W75" si="12">V45/$V$45</f>
        <v>1</v>
      </c>
      <c r="X45" s="101">
        <f t="shared" ref="X45:X75" si="13">W45*J45</f>
        <v>0.43839984491034012</v>
      </c>
      <c r="Y45" s="101">
        <f>W45*$U$42</f>
        <v>14.256069296741563</v>
      </c>
      <c r="Z45" s="196">
        <v>0.01</v>
      </c>
      <c r="AA45" s="113">
        <f t="shared" ref="AA45:AA75" si="14">$F$20-Z45</f>
        <v>29.99</v>
      </c>
      <c r="AB45" s="375">
        <f t="shared" ref="AB45:AB75" si="15">($E$104/$T$29)*LN(Z45/$E$105)</f>
        <v>0.43839984491034012</v>
      </c>
      <c r="AC45" s="112">
        <v>1</v>
      </c>
      <c r="AD45" s="112">
        <f t="shared" ref="AD45:AD75" si="16">AC45*AB45</f>
        <v>0.43839984491034012</v>
      </c>
      <c r="AE45" s="112">
        <f t="shared" ref="AE45:AE75" si="17">AC45*$AA$42</f>
        <v>79.652254539874036</v>
      </c>
      <c r="AF45" s="111">
        <f t="shared" ref="AF45:AF75" si="18">(AA45/Z45-$F$32/($F$21-$F$32))^$G$32</f>
        <v>16.685308865706059</v>
      </c>
      <c r="AG45" s="112">
        <f>AF45/(1+AF45)</f>
        <v>0.94345589282078524</v>
      </c>
      <c r="AH45" s="112">
        <f t="shared" ref="AH45:AH74" si="19">AVERAGE(AG45:AG46)</f>
        <v>0.85454096711141014</v>
      </c>
      <c r="AI45" s="112">
        <f t="shared" ref="AI45:AI75" si="20">AH45/$AH$45</f>
        <v>1</v>
      </c>
      <c r="AJ45" s="112">
        <f t="shared" ref="AJ45:AJ75" si="21">AB45*AI45</f>
        <v>0.43839984491034012</v>
      </c>
      <c r="AK45" s="112">
        <f t="shared" ref="AK45:AK75" si="22">AI45*$AG$42</f>
        <v>13.835724811299778</v>
      </c>
      <c r="AL45" s="111">
        <f t="shared" ref="AL45:AL75" si="23">(AA45/Z45-$L$32/($F$21-$L$32))^$M$32</f>
        <v>1491.0139010947105</v>
      </c>
      <c r="AM45" s="112">
        <f>AL45/(1+AL45)</f>
        <v>0.99932976495777537</v>
      </c>
      <c r="AN45" s="112">
        <f t="shared" ref="AN45:AN74" si="24">AVERAGE(AM45:AM46)</f>
        <v>0.97755539025329985</v>
      </c>
      <c r="AO45" s="112">
        <f>AN45/$AN$45</f>
        <v>1</v>
      </c>
      <c r="AP45" s="112">
        <f t="shared" ref="AP45:AP75" si="25">AO45*AB45</f>
        <v>0.43839984491034012</v>
      </c>
      <c r="AQ45" s="112">
        <f t="shared" ref="AQ45:AQ75" si="26">AO45*$AM$42</f>
        <v>30.339138126005796</v>
      </c>
      <c r="AR45" s="197">
        <v>0.01</v>
      </c>
      <c r="AS45" s="141">
        <f t="shared" ref="AS45:AS75" si="27">$F$20-AR45</f>
        <v>29.99</v>
      </c>
      <c r="AT45" s="378">
        <f t="shared" ref="AT45:AT75" si="28">($F$104/$T$29)*LN(AR45/$F$105)</f>
        <v>0.65759976736551018</v>
      </c>
      <c r="AU45" s="187">
        <v>1</v>
      </c>
      <c r="AV45" s="187">
        <f>AU45*AT45</f>
        <v>0.65759976736551018</v>
      </c>
      <c r="AW45" s="187">
        <f t="shared" ref="AW45:AW75" si="29">AU45*$AU$42</f>
        <v>58.328658895810442</v>
      </c>
      <c r="AX45" s="188">
        <f t="shared" ref="AX45:AX75" si="30">(AS45/AR45-$F$33/($F$22-$F$33))^$G$33</f>
        <v>6.5296439448179715</v>
      </c>
      <c r="AY45" s="187">
        <f>AX45/(1+AX45)</f>
        <v>0.86719159533589674</v>
      </c>
      <c r="AZ45" s="187">
        <f t="shared" ref="AZ45:AZ73" si="31">AVERAGE(AY45:AY46)</f>
        <v>0.77742383689163252</v>
      </c>
      <c r="BA45" s="187">
        <f>AZ45/$AZ$45</f>
        <v>1</v>
      </c>
      <c r="BB45" s="187">
        <f t="shared" ref="BB45:BB75" si="32">BA45*AT45</f>
        <v>0.65759976736551018</v>
      </c>
      <c r="BC45" s="187">
        <f t="shared" ref="BC45:BC75" si="33">BA45*$AY$42</f>
        <v>13.382075470457938</v>
      </c>
      <c r="BD45" s="188">
        <f t="shared" ref="BD45:BD75" si="34">(AS45/AR45-$L$33/($F$22-$L$33))^$M$33</f>
        <v>130.51320708511574</v>
      </c>
      <c r="BE45" s="187">
        <f>BD45/(1+BD45)</f>
        <v>0.99239620094312808</v>
      </c>
      <c r="BF45" s="187">
        <f t="shared" ref="BF45:BF74" si="35">AVERAGE(BE45,BE46)</f>
        <v>0.93911714147152603</v>
      </c>
      <c r="BG45" s="187">
        <f>BF45/$BF$45</f>
        <v>1</v>
      </c>
      <c r="BH45" s="198">
        <f t="shared" ref="BH45:BH75" si="36">BG45*AT45</f>
        <v>0.65759976736551018</v>
      </c>
      <c r="BI45" s="198">
        <f>BG45*$BE$42</f>
        <v>31.10052178303884</v>
      </c>
      <c r="BJ45" s="199">
        <v>0.01</v>
      </c>
      <c r="BK45" s="124">
        <f t="shared" ref="BK45:BK75" si="37">$F$20-BJ45</f>
        <v>29.99</v>
      </c>
      <c r="BL45" s="382">
        <f t="shared" ref="BL45:BL75" si="38">($G$104/$T$29)*LN(BJ45/$G$105)</f>
        <v>0.65759976736551018</v>
      </c>
      <c r="BM45" s="123">
        <v>1</v>
      </c>
      <c r="BN45" s="123">
        <f>BM45*BL45</f>
        <v>0.65759976736551018</v>
      </c>
      <c r="BO45" s="123">
        <f>BM45*$BM$42</f>
        <v>59.353165135527114</v>
      </c>
      <c r="BP45" s="122">
        <f t="shared" ref="BP45:BP75" si="39">(BK45/BJ45-$F$34/($F$23-$F$34))^$G$34</f>
        <v>6.5296439448179715</v>
      </c>
      <c r="BQ45" s="123">
        <f>BP45/(1+BP45)</f>
        <v>0.86719159533589674</v>
      </c>
      <c r="BR45" s="123">
        <f t="shared" ref="BR45:BR74" si="40">AVERAGE(BQ45:BQ46)</f>
        <v>0.77742383689163252</v>
      </c>
      <c r="BS45" s="123">
        <f t="shared" ref="BS45:BS75" si="41">BR45/$BR$45</f>
        <v>1</v>
      </c>
      <c r="BT45" s="123">
        <f t="shared" ref="BT45:BT75" si="42">BS45*BL45</f>
        <v>0.65759976736551018</v>
      </c>
      <c r="BU45" s="123">
        <f>BS45*$BQ$42</f>
        <v>18.559883149468384</v>
      </c>
      <c r="BV45" s="122">
        <f t="shared" ref="BV45:BV75" si="43">(BK45/BJ45-$L$34/($F$23-$L$34))^$M$34</f>
        <v>130.51320708507203</v>
      </c>
      <c r="BW45" s="123">
        <f>BV45/(1+BV45)</f>
        <v>0.99239620094312564</v>
      </c>
      <c r="BX45" s="123">
        <f>AVERAGE(BW45,BW46)</f>
        <v>0.93911714146976977</v>
      </c>
      <c r="BY45" s="123">
        <f t="shared" ref="BY45:BY75" si="44">BX45/$BX$45</f>
        <v>1</v>
      </c>
      <c r="BZ45" s="200">
        <f t="shared" ref="BZ45:BZ75" si="45">BY45*BL45</f>
        <v>0.65759976736551018</v>
      </c>
      <c r="CA45" s="202">
        <f>BY45*$BW$42</f>
        <v>43.133970785407634</v>
      </c>
    </row>
    <row r="46" spans="1:79" s="66" customFormat="1" x14ac:dyDescent="0.35">
      <c r="A46" s="190"/>
      <c r="B46" s="191">
        <v>1</v>
      </c>
      <c r="C46" s="191">
        <f t="shared" si="0"/>
        <v>29</v>
      </c>
      <c r="D46" s="192">
        <f t="shared" si="1"/>
        <v>1.1123271892012803</v>
      </c>
      <c r="E46" s="193">
        <v>1</v>
      </c>
      <c r="F46" s="194">
        <f t="shared" si="2"/>
        <v>1.1123271892012803</v>
      </c>
      <c r="G46" s="194">
        <f t="shared" si="3"/>
        <v>21.015608353664071</v>
      </c>
      <c r="H46" s="195">
        <v>1</v>
      </c>
      <c r="I46" s="102">
        <f t="shared" si="4"/>
        <v>29</v>
      </c>
      <c r="J46" s="100">
        <f t="shared" si="5"/>
        <v>1.1123271892012803</v>
      </c>
      <c r="K46" s="100">
        <v>1</v>
      </c>
      <c r="L46" s="101">
        <f t="shared" si="6"/>
        <v>1.1123271892012803</v>
      </c>
      <c r="M46" s="101">
        <f t="shared" si="7"/>
        <v>63.3304136376073</v>
      </c>
      <c r="N46" s="100">
        <f t="shared" si="8"/>
        <v>3.266685624896398</v>
      </c>
      <c r="O46" s="101">
        <f t="shared" ref="O46:O75" si="46">N46/(1+N46)</f>
        <v>0.76562604140203516</v>
      </c>
      <c r="P46" s="101">
        <f t="shared" ref="P46:P74" si="47">AVERAGE(O46:O47)</f>
        <v>0.74112363054834207</v>
      </c>
      <c r="Q46" s="101">
        <f>P46/$P$45</f>
        <v>0.86727688791041735</v>
      </c>
      <c r="R46" s="101">
        <f t="shared" ref="R46:R75" si="48">Q46*J46</f>
        <v>0.9646956629886283</v>
      </c>
      <c r="S46" s="101">
        <f t="shared" ref="S46:S75" si="49">Q46*$P$42</f>
        <v>5.6381071158500919</v>
      </c>
      <c r="T46" s="100">
        <f t="shared" si="9"/>
        <v>21.614721084428087</v>
      </c>
      <c r="U46" s="101">
        <f t="shared" si="10"/>
        <v>0.95578101554882433</v>
      </c>
      <c r="V46" s="101">
        <f t="shared" si="11"/>
        <v>0.93663473281065013</v>
      </c>
      <c r="W46" s="101">
        <f t="shared" si="12"/>
        <v>0.95813980685836475</v>
      </c>
      <c r="X46" s="101">
        <f t="shared" si="13"/>
        <v>1.0657649582246225</v>
      </c>
      <c r="Y46" s="101">
        <f t="shared" ref="Y46:Y75" si="50">W46*$U$42</f>
        <v>13.659307482539425</v>
      </c>
      <c r="Z46" s="196">
        <v>1</v>
      </c>
      <c r="AA46" s="113">
        <f t="shared" si="14"/>
        <v>29</v>
      </c>
      <c r="AB46" s="375">
        <f t="shared" si="15"/>
        <v>1.1123271892012803</v>
      </c>
      <c r="AC46" s="112">
        <v>1</v>
      </c>
      <c r="AD46" s="112">
        <f>AC46*AB46</f>
        <v>1.1123271892012803</v>
      </c>
      <c r="AE46" s="112">
        <f t="shared" si="17"/>
        <v>79.652254539874036</v>
      </c>
      <c r="AF46" s="111">
        <f t="shared" si="18"/>
        <v>3.266685624896398</v>
      </c>
      <c r="AG46" s="112">
        <f>AF46/(1+AF46)</f>
        <v>0.76562604140203516</v>
      </c>
      <c r="AH46" s="112">
        <f t="shared" si="19"/>
        <v>0.74112363054834207</v>
      </c>
      <c r="AI46" s="112">
        <f>AH46/$AH$45</f>
        <v>0.86727688791041735</v>
      </c>
      <c r="AJ46" s="112">
        <f t="shared" si="21"/>
        <v>0.9646956629886283</v>
      </c>
      <c r="AK46" s="112">
        <f t="shared" si="22"/>
        <v>11.999404356329018</v>
      </c>
      <c r="AL46" s="111">
        <f t="shared" si="23"/>
        <v>21.614721084428087</v>
      </c>
      <c r="AM46" s="112">
        <f>AL46/(1+AL46)</f>
        <v>0.95578101554882433</v>
      </c>
      <c r="AN46" s="112">
        <f t="shared" si="24"/>
        <v>0.93663473281065013</v>
      </c>
      <c r="AO46" s="112">
        <f t="shared" ref="AO46:AO75" si="51">AN46/$AN$45</f>
        <v>0.95813980685836475</v>
      </c>
      <c r="AP46" s="112">
        <f t="shared" si="25"/>
        <v>1.0657649582246225</v>
      </c>
      <c r="AQ46" s="112">
        <f t="shared" si="26"/>
        <v>29.069135944300445</v>
      </c>
      <c r="AR46" s="197">
        <v>1</v>
      </c>
      <c r="AS46" s="141">
        <f t="shared" si="27"/>
        <v>29</v>
      </c>
      <c r="AT46" s="378">
        <f t="shared" si="28"/>
        <v>1.6684907838019205</v>
      </c>
      <c r="AU46" s="187">
        <v>1</v>
      </c>
      <c r="AV46" s="187">
        <f t="shared" ref="AV46:AV75" si="52">AU46*AT46</f>
        <v>1.6684907838019205</v>
      </c>
      <c r="AW46" s="187">
        <f t="shared" si="29"/>
        <v>58.328658895810442</v>
      </c>
      <c r="AX46" s="188">
        <f t="shared" si="30"/>
        <v>2.2015990419442</v>
      </c>
      <c r="AY46" s="187">
        <f>AX46/(1+AX46)</f>
        <v>0.68765607844736831</v>
      </c>
      <c r="AZ46" s="187">
        <f t="shared" si="31"/>
        <v>0.6687676827765362</v>
      </c>
      <c r="BA46" s="187">
        <f t="shared" ref="BA46:BA75" si="53">AZ46/$AZ$45</f>
        <v>0.86023562829056621</v>
      </c>
      <c r="BB46" s="187">
        <f t="shared" si="32"/>
        <v>1.4352952177008644</v>
      </c>
      <c r="BC46" s="187">
        <f t="shared" si="33"/>
        <v>11.511738100161159</v>
      </c>
      <c r="BD46" s="188">
        <f t="shared" si="34"/>
        <v>7.7594884311538568</v>
      </c>
      <c r="BE46" s="187">
        <f>BD46/(1+BD46)</f>
        <v>0.88583808199992409</v>
      </c>
      <c r="BF46" s="187">
        <f t="shared" si="35"/>
        <v>0.85933284752668571</v>
      </c>
      <c r="BG46" s="187">
        <f t="shared" ref="BG46:BG75" si="54">BF46/$BF$45</f>
        <v>0.91504329926315231</v>
      </c>
      <c r="BH46" s="198">
        <f t="shared" si="36"/>
        <v>1.5267413116002724</v>
      </c>
      <c r="BI46" s="198">
        <f t="shared" ref="BI46:BI75" si="55">BG46*$BE$42</f>
        <v>28.458324061157395</v>
      </c>
      <c r="BJ46" s="199">
        <v>1</v>
      </c>
      <c r="BK46" s="124">
        <f t="shared" si="37"/>
        <v>29</v>
      </c>
      <c r="BL46" s="382">
        <f t="shared" si="38"/>
        <v>1.6684907838019205</v>
      </c>
      <c r="BM46" s="123">
        <v>1</v>
      </c>
      <c r="BN46" s="123">
        <f t="shared" ref="BN46:BN75" si="56">BM46*BL46</f>
        <v>1.6684907838019205</v>
      </c>
      <c r="BO46" s="123">
        <f t="shared" ref="BO46:BO75" si="57">BM46*$BM$42</f>
        <v>59.353165135527114</v>
      </c>
      <c r="BP46" s="122">
        <f t="shared" si="39"/>
        <v>2.2015990419442</v>
      </c>
      <c r="BQ46" s="123">
        <f>BP46/(1+BP46)</f>
        <v>0.68765607844736831</v>
      </c>
      <c r="BR46" s="123">
        <f t="shared" si="40"/>
        <v>0.6687676827765362</v>
      </c>
      <c r="BS46" s="123">
        <f t="shared" si="41"/>
        <v>0.86023562829056621</v>
      </c>
      <c r="BT46" s="123">
        <f t="shared" si="42"/>
        <v>1.4352952177008644</v>
      </c>
      <c r="BU46" s="123">
        <f t="shared" ref="BU46:BU75" si="58">BS46*$BQ$42</f>
        <v>15.965872742082428</v>
      </c>
      <c r="BV46" s="122">
        <f t="shared" si="43"/>
        <v>7.7594884308845176</v>
      </c>
      <c r="BW46" s="123">
        <f>BV46/(1+BV46)</f>
        <v>0.8858380819964139</v>
      </c>
      <c r="BX46" s="123">
        <f t="shared" ref="BX46:BX74" si="59">AVERAGE(BW46,BW47)</f>
        <v>0.85933284751992534</v>
      </c>
      <c r="BY46" s="123">
        <f t="shared" si="44"/>
        <v>0.91504329925766492</v>
      </c>
      <c r="BZ46" s="200">
        <f t="shared" si="45"/>
        <v>1.5267413115911166</v>
      </c>
      <c r="CA46" s="202">
        <f t="shared" ref="CA46:CA75" si="60">BY46*$BW$42</f>
        <v>39.469450937563131</v>
      </c>
    </row>
    <row r="47" spans="1:79" s="66" customFormat="1" x14ac:dyDescent="0.35">
      <c r="A47" s="190"/>
      <c r="B47" s="191">
        <v>2</v>
      </c>
      <c r="C47" s="191">
        <f t="shared" si="0"/>
        <v>28</v>
      </c>
      <c r="D47" s="192">
        <f t="shared" si="1"/>
        <v>1.2137633619661503</v>
      </c>
      <c r="E47" s="193">
        <v>1</v>
      </c>
      <c r="F47" s="194">
        <f t="shared" si="2"/>
        <v>1.2137633619661503</v>
      </c>
      <c r="G47" s="194">
        <f t="shared" si="3"/>
        <v>21.015608353664071</v>
      </c>
      <c r="H47" s="195">
        <v>2</v>
      </c>
      <c r="I47" s="102">
        <f t="shared" si="4"/>
        <v>28</v>
      </c>
      <c r="J47" s="100">
        <f t="shared" si="5"/>
        <v>1.2137633619661503</v>
      </c>
      <c r="K47" s="100">
        <v>1</v>
      </c>
      <c r="L47" s="101">
        <f t="shared" si="6"/>
        <v>1.2137633619661503</v>
      </c>
      <c r="M47" s="101">
        <f t="shared" si="7"/>
        <v>63.3304136376073</v>
      </c>
      <c r="N47" s="100">
        <f t="shared" si="8"/>
        <v>2.5288457340470707</v>
      </c>
      <c r="O47" s="101">
        <f t="shared" si="46"/>
        <v>0.71662121969464898</v>
      </c>
      <c r="P47" s="101">
        <f t="shared" si="47"/>
        <v>0.70033444198882178</v>
      </c>
      <c r="Q47" s="101">
        <f>P47/$P$45</f>
        <v>0.81954460809076246</v>
      </c>
      <c r="R47" s="101">
        <f t="shared" si="48"/>
        <v>0.99473321879747489</v>
      </c>
      <c r="S47" s="101">
        <f t="shared" si="49"/>
        <v>5.327802863242427</v>
      </c>
      <c r="T47" s="100">
        <f t="shared" si="9"/>
        <v>11.119515399703097</v>
      </c>
      <c r="U47" s="101">
        <f t="shared" si="10"/>
        <v>0.91748845007247581</v>
      </c>
      <c r="V47" s="101">
        <f t="shared" si="11"/>
        <v>0.89942749661581223</v>
      </c>
      <c r="W47" s="101">
        <f t="shared" si="12"/>
        <v>0.9200782948808216</v>
      </c>
      <c r="X47" s="101">
        <f t="shared" si="13"/>
        <v>1.1167573244666291</v>
      </c>
      <c r="Y47" s="101">
        <f t="shared" si="50"/>
        <v>13.11669993024881</v>
      </c>
      <c r="Z47" s="196">
        <v>2</v>
      </c>
      <c r="AA47" s="113">
        <f t="shared" si="14"/>
        <v>28</v>
      </c>
      <c r="AB47" s="375">
        <f t="shared" si="15"/>
        <v>1.2137633619661503</v>
      </c>
      <c r="AC47" s="112">
        <v>1</v>
      </c>
      <c r="AD47" s="112">
        <f t="shared" si="16"/>
        <v>1.2137633619661503</v>
      </c>
      <c r="AE47" s="112">
        <f t="shared" si="17"/>
        <v>79.652254539874036</v>
      </c>
      <c r="AF47" s="111">
        <f t="shared" si="18"/>
        <v>2.5288457340470707</v>
      </c>
      <c r="AG47" s="112">
        <f t="shared" ref="AG47:AG61" si="61">AF47/(1+AF47)</f>
        <v>0.71662121969464898</v>
      </c>
      <c r="AH47" s="112">
        <f t="shared" si="19"/>
        <v>0.70033444198882178</v>
      </c>
      <c r="AI47" s="112">
        <f t="shared" si="20"/>
        <v>0.81954460809076246</v>
      </c>
      <c r="AJ47" s="112">
        <f t="shared" si="21"/>
        <v>0.99473321879747489</v>
      </c>
      <c r="AK47" s="112">
        <f t="shared" si="22"/>
        <v>11.338993668128316</v>
      </c>
      <c r="AL47" s="111">
        <f t="shared" si="23"/>
        <v>11.119515399703097</v>
      </c>
      <c r="AM47" s="112">
        <f t="shared" ref="AM47:AM75" si="62">AL47/(1+AL47)</f>
        <v>0.91748845007247581</v>
      </c>
      <c r="AN47" s="112">
        <f t="shared" si="24"/>
        <v>0.89942749661581223</v>
      </c>
      <c r="AO47" s="112">
        <f t="shared" si="51"/>
        <v>0.9200782948808216</v>
      </c>
      <c r="AP47" s="112">
        <f t="shared" si="25"/>
        <v>1.1167573244666291</v>
      </c>
      <c r="AQ47" s="112">
        <f t="shared" si="26"/>
        <v>27.914382475129138</v>
      </c>
      <c r="AR47" s="197">
        <v>2</v>
      </c>
      <c r="AS47" s="141">
        <f t="shared" si="27"/>
        <v>28</v>
      </c>
      <c r="AT47" s="378">
        <f t="shared" si="28"/>
        <v>1.8206450429492256</v>
      </c>
      <c r="AU47" s="187">
        <v>1</v>
      </c>
      <c r="AV47" s="187">
        <f t="shared" si="52"/>
        <v>1.8206450429492256</v>
      </c>
      <c r="AW47" s="187">
        <f t="shared" si="29"/>
        <v>58.328658895810442</v>
      </c>
      <c r="AX47" s="188">
        <f t="shared" si="30"/>
        <v>1.8561577855061302</v>
      </c>
      <c r="AY47" s="187">
        <f t="shared" ref="AY47:AY61" si="63">AX47/(1+AX47)</f>
        <v>0.64987928710570408</v>
      </c>
      <c r="AZ47" s="187">
        <f t="shared" si="31"/>
        <v>0.63792359586764102</v>
      </c>
      <c r="BA47" s="187">
        <f t="shared" si="53"/>
        <v>0.82056089046387592</v>
      </c>
      <c r="BB47" s="187">
        <f t="shared" si="32"/>
        <v>1.4939501176610581</v>
      </c>
      <c r="BC47" s="187">
        <f t="shared" si="33"/>
        <v>10.980807764293758</v>
      </c>
      <c r="BD47" s="188">
        <f t="shared" si="34"/>
        <v>4.9818491454555458</v>
      </c>
      <c r="BE47" s="187">
        <f t="shared" ref="BE47:BE75" si="64">BD47/(1+BD47)</f>
        <v>0.83282761305344732</v>
      </c>
      <c r="BF47" s="187">
        <f t="shared" si="35"/>
        <v>0.81240831926122414</v>
      </c>
      <c r="BG47" s="187">
        <f t="shared" si="54"/>
        <v>0.86507665911436915</v>
      </c>
      <c r="BH47" s="198">
        <f t="shared" si="36"/>
        <v>1.5749975311876532</v>
      </c>
      <c r="BI47" s="198">
        <f t="shared" si="55"/>
        <v>26.904335480784901</v>
      </c>
      <c r="BJ47" s="199">
        <v>2</v>
      </c>
      <c r="BK47" s="124">
        <f t="shared" si="37"/>
        <v>28</v>
      </c>
      <c r="BL47" s="382">
        <f t="shared" si="38"/>
        <v>1.8206450429492256</v>
      </c>
      <c r="BM47" s="123">
        <v>1</v>
      </c>
      <c r="BN47" s="123">
        <f t="shared" si="56"/>
        <v>1.8206450429492256</v>
      </c>
      <c r="BO47" s="123">
        <f t="shared" si="57"/>
        <v>59.353165135527114</v>
      </c>
      <c r="BP47" s="122">
        <f t="shared" si="39"/>
        <v>1.8561577855061302</v>
      </c>
      <c r="BQ47" s="123">
        <f t="shared" ref="BQ47:BQ61" si="65">BP47/(1+BP47)</f>
        <v>0.64987928710570408</v>
      </c>
      <c r="BR47" s="123">
        <f t="shared" si="40"/>
        <v>0.63792359586764102</v>
      </c>
      <c r="BS47" s="123">
        <f t="shared" si="41"/>
        <v>0.82056089046387592</v>
      </c>
      <c r="BT47" s="123">
        <f t="shared" si="42"/>
        <v>1.4939501176610581</v>
      </c>
      <c r="BU47" s="123">
        <f t="shared" si="58"/>
        <v>15.229514244033263</v>
      </c>
      <c r="BV47" s="122">
        <f t="shared" si="43"/>
        <v>4.9818491450973479</v>
      </c>
      <c r="BW47" s="123">
        <f t="shared" ref="BW47:BW75" si="66">BV47/(1+BV47)</f>
        <v>0.83282761304343689</v>
      </c>
      <c r="BX47" s="123">
        <f t="shared" si="59"/>
        <v>0.81240831924700607</v>
      </c>
      <c r="BY47" s="123">
        <f t="shared" si="44"/>
        <v>0.86507665910084719</v>
      </c>
      <c r="BZ47" s="200">
        <f t="shared" si="45"/>
        <v>1.5749975311630344</v>
      </c>
      <c r="CA47" s="202">
        <f t="shared" si="60"/>
        <v>37.314191340793982</v>
      </c>
    </row>
    <row r="48" spans="1:79" s="66" customFormat="1" x14ac:dyDescent="0.35">
      <c r="A48" s="190"/>
      <c r="B48" s="191">
        <v>3</v>
      </c>
      <c r="C48" s="191">
        <f t="shared" si="0"/>
        <v>27</v>
      </c>
      <c r="D48" s="192">
        <f t="shared" si="1"/>
        <v>1.2730997192502718</v>
      </c>
      <c r="E48" s="193">
        <v>1</v>
      </c>
      <c r="F48" s="194">
        <f t="shared" si="2"/>
        <v>1.2730997192502718</v>
      </c>
      <c r="G48" s="194">
        <f t="shared" si="3"/>
        <v>21.015608353664071</v>
      </c>
      <c r="H48" s="195">
        <v>3</v>
      </c>
      <c r="I48" s="102">
        <f t="shared" si="4"/>
        <v>27</v>
      </c>
      <c r="J48" s="100">
        <f t="shared" si="5"/>
        <v>1.2730997192502718</v>
      </c>
      <c r="K48" s="100">
        <v>1</v>
      </c>
      <c r="L48" s="101">
        <f t="shared" si="6"/>
        <v>1.2730997192502718</v>
      </c>
      <c r="M48" s="101">
        <f t="shared" si="7"/>
        <v>63.3304136376073</v>
      </c>
      <c r="N48" s="100">
        <f t="shared" si="8"/>
        <v>2.1650343642203285</v>
      </c>
      <c r="O48" s="101">
        <f t="shared" si="46"/>
        <v>0.68404766428299457</v>
      </c>
      <c r="P48" s="101">
        <f t="shared" si="47"/>
        <v>0.67143310223899633</v>
      </c>
      <c r="Q48" s="101">
        <f t="shared" ref="Q48:Q75" si="67">P48/$P$45</f>
        <v>0.78572371376018391</v>
      </c>
      <c r="R48" s="101">
        <f t="shared" si="48"/>
        <v>1.000304639396371</v>
      </c>
      <c r="S48" s="101">
        <f t="shared" si="49"/>
        <v>5.1079355663644028</v>
      </c>
      <c r="T48" s="100">
        <f t="shared" si="9"/>
        <v>7.429325306953813</v>
      </c>
      <c r="U48" s="101">
        <f t="shared" si="10"/>
        <v>0.88136654315914875</v>
      </c>
      <c r="V48" s="101">
        <f t="shared" si="11"/>
        <v>0.86399873634332902</v>
      </c>
      <c r="W48" s="101">
        <f t="shared" si="12"/>
        <v>0.88383609251998851</v>
      </c>
      <c r="X48" s="101">
        <f>W48*J48</f>
        <v>1.1252114812504546</v>
      </c>
      <c r="Y48" s="101">
        <f t="shared" si="50"/>
        <v>12.600028581926244</v>
      </c>
      <c r="Z48" s="196">
        <v>3</v>
      </c>
      <c r="AA48" s="113">
        <f t="shared" si="14"/>
        <v>27</v>
      </c>
      <c r="AB48" s="375">
        <f t="shared" si="15"/>
        <v>1.2730997192502718</v>
      </c>
      <c r="AC48" s="112">
        <v>1</v>
      </c>
      <c r="AD48" s="112">
        <f t="shared" si="16"/>
        <v>1.2730997192502718</v>
      </c>
      <c r="AE48" s="112">
        <f t="shared" si="17"/>
        <v>79.652254539874036</v>
      </c>
      <c r="AF48" s="111">
        <f t="shared" si="18"/>
        <v>2.1650343642203285</v>
      </c>
      <c r="AG48" s="112">
        <f t="shared" si="61"/>
        <v>0.68404766428299457</v>
      </c>
      <c r="AH48" s="112">
        <f t="shared" si="19"/>
        <v>0.67143310223899633</v>
      </c>
      <c r="AI48" s="112">
        <f t="shared" si="20"/>
        <v>0.78572371376018391</v>
      </c>
      <c r="AJ48" s="112">
        <f t="shared" si="21"/>
        <v>1.000304639396371</v>
      </c>
      <c r="AK48" s="112">
        <f t="shared" si="22"/>
        <v>10.871057081298382</v>
      </c>
      <c r="AL48" s="111">
        <f t="shared" si="23"/>
        <v>7.429325306953813</v>
      </c>
      <c r="AM48" s="112">
        <f t="shared" si="62"/>
        <v>0.88136654315914875</v>
      </c>
      <c r="AN48" s="112">
        <f t="shared" si="24"/>
        <v>0.86399873634332902</v>
      </c>
      <c r="AO48" s="112">
        <f t="shared" si="51"/>
        <v>0.88383609251998851</v>
      </c>
      <c r="AP48" s="112">
        <f t="shared" si="25"/>
        <v>1.1252114812504546</v>
      </c>
      <c r="AQ48" s="112">
        <f>AO48*$AM$42</f>
        <v>26.81482529171317</v>
      </c>
      <c r="AR48" s="197">
        <v>3</v>
      </c>
      <c r="AS48" s="141">
        <f t="shared" si="27"/>
        <v>27</v>
      </c>
      <c r="AT48" s="378">
        <f t="shared" si="28"/>
        <v>1.9096495788754078</v>
      </c>
      <c r="AU48" s="187">
        <v>1</v>
      </c>
      <c r="AV48" s="187">
        <f>AU48*AT48</f>
        <v>1.9096495788754078</v>
      </c>
      <c r="AW48" s="187">
        <f t="shared" si="29"/>
        <v>58.328658895810442</v>
      </c>
      <c r="AX48" s="188">
        <f t="shared" si="30"/>
        <v>1.6735673552550394</v>
      </c>
      <c r="AY48" s="187">
        <f>AX48/(1+AX48)</f>
        <v>0.62596790462957796</v>
      </c>
      <c r="AZ48" s="187">
        <f t="shared" si="31"/>
        <v>0.61695726601766521</v>
      </c>
      <c r="BA48" s="187">
        <f>AZ48/$AZ$45</f>
        <v>0.79359190796675394</v>
      </c>
      <c r="BB48" s="187">
        <f t="shared" si="32"/>
        <v>1.5154824528476429</v>
      </c>
      <c r="BC48" s="187">
        <f t="shared" si="33"/>
        <v>10.619906805155811</v>
      </c>
      <c r="BD48" s="188">
        <f t="shared" si="34"/>
        <v>3.8074386568049747</v>
      </c>
      <c r="BE48" s="187">
        <f t="shared" si="64"/>
        <v>0.79198902546900096</v>
      </c>
      <c r="BF48" s="187">
        <f t="shared" si="35"/>
        <v>0.77473746304909052</v>
      </c>
      <c r="BG48" s="187">
        <f t="shared" si="54"/>
        <v>0.82496360553608372</v>
      </c>
      <c r="BH48" s="198">
        <f t="shared" si="36"/>
        <v>1.5753914018995203</v>
      </c>
      <c r="BI48" s="198">
        <f t="shared" si="55"/>
        <v>25.656798584189232</v>
      </c>
      <c r="BJ48" s="199">
        <v>3</v>
      </c>
      <c r="BK48" s="124">
        <f t="shared" si="37"/>
        <v>27</v>
      </c>
      <c r="BL48" s="382">
        <f t="shared" si="38"/>
        <v>1.9096495788754078</v>
      </c>
      <c r="BM48" s="123">
        <v>1</v>
      </c>
      <c r="BN48" s="123">
        <f t="shared" si="56"/>
        <v>1.9096495788754078</v>
      </c>
      <c r="BO48" s="123">
        <f t="shared" si="57"/>
        <v>59.353165135527114</v>
      </c>
      <c r="BP48" s="122">
        <f t="shared" si="39"/>
        <v>1.6735673552550394</v>
      </c>
      <c r="BQ48" s="123">
        <f t="shared" si="65"/>
        <v>0.62596790462957796</v>
      </c>
      <c r="BR48" s="123">
        <f t="shared" si="40"/>
        <v>0.61695726601766521</v>
      </c>
      <c r="BS48" s="123">
        <f t="shared" si="41"/>
        <v>0.79359190796675394</v>
      </c>
      <c r="BT48" s="123">
        <f t="shared" si="42"/>
        <v>1.5154824528476429</v>
      </c>
      <c r="BU48" s="123">
        <f t="shared" si="58"/>
        <v>14.72897308022662</v>
      </c>
      <c r="BV48" s="122">
        <f t="shared" si="43"/>
        <v>3.80743865637913</v>
      </c>
      <c r="BW48" s="123">
        <f t="shared" si="66"/>
        <v>0.79198902545057526</v>
      </c>
      <c r="BX48" s="123">
        <f t="shared" si="59"/>
        <v>0.77473746302565338</v>
      </c>
      <c r="BY48" s="123">
        <f t="shared" si="44"/>
        <v>0.8249636055126699</v>
      </c>
      <c r="BZ48" s="200">
        <f t="shared" si="45"/>
        <v>1.5753914018548081</v>
      </c>
      <c r="CA48" s="202">
        <f t="shared" si="60"/>
        <v>35.583956059208049</v>
      </c>
    </row>
    <row r="49" spans="1:79" s="66" customFormat="1" x14ac:dyDescent="0.35">
      <c r="A49" s="190"/>
      <c r="B49" s="191">
        <v>4</v>
      </c>
      <c r="C49" s="191">
        <f t="shared" si="0"/>
        <v>26</v>
      </c>
      <c r="D49" s="192">
        <f t="shared" si="1"/>
        <v>1.3151995347310204</v>
      </c>
      <c r="E49" s="193">
        <v>1</v>
      </c>
      <c r="F49" s="194">
        <f t="shared" si="2"/>
        <v>1.3151995347310204</v>
      </c>
      <c r="G49" s="194">
        <f t="shared" si="3"/>
        <v>21.015608353664071</v>
      </c>
      <c r="H49" s="195">
        <v>4</v>
      </c>
      <c r="I49" s="102">
        <f t="shared" si="4"/>
        <v>26</v>
      </c>
      <c r="J49" s="100">
        <f t="shared" si="5"/>
        <v>1.3151995347310204</v>
      </c>
      <c r="K49" s="100">
        <v>1</v>
      </c>
      <c r="L49" s="101">
        <f t="shared" si="6"/>
        <v>1.3151995347310204</v>
      </c>
      <c r="M49" s="101">
        <f t="shared" si="7"/>
        <v>63.3304136376073</v>
      </c>
      <c r="N49" s="100">
        <f t="shared" si="8"/>
        <v>1.930991621208074</v>
      </c>
      <c r="O49" s="101">
        <f t="shared" si="46"/>
        <v>0.65881854019499808</v>
      </c>
      <c r="P49" s="101">
        <f t="shared" si="47"/>
        <v>0.64830592373250528</v>
      </c>
      <c r="Q49" s="101">
        <f t="shared" si="67"/>
        <v>0.75865985211213738</v>
      </c>
      <c r="R49" s="101">
        <f t="shared" si="48"/>
        <v>0.99778908451698778</v>
      </c>
      <c r="S49" s="101">
        <f t="shared" si="49"/>
        <v>4.9319952720163363</v>
      </c>
      <c r="T49" s="100">
        <f t="shared" si="9"/>
        <v>5.5202194739738397</v>
      </c>
      <c r="U49" s="101">
        <f t="shared" si="10"/>
        <v>0.84663092952750929</v>
      </c>
      <c r="V49" s="101">
        <f t="shared" si="11"/>
        <v>0.82976465041438163</v>
      </c>
      <c r="W49" s="101">
        <f t="shared" si="12"/>
        <v>0.84881599414983189</v>
      </c>
      <c r="X49" s="101">
        <f t="shared" si="13"/>
        <v>1.1163624005781074</v>
      </c>
      <c r="Y49" s="101">
        <f t="shared" si="50"/>
        <v>12.100779632782585</v>
      </c>
      <c r="Z49" s="196">
        <v>4</v>
      </c>
      <c r="AA49" s="113">
        <f t="shared" si="14"/>
        <v>26</v>
      </c>
      <c r="AB49" s="375">
        <f t="shared" si="15"/>
        <v>1.3151995347310204</v>
      </c>
      <c r="AC49" s="112">
        <v>1</v>
      </c>
      <c r="AD49" s="112">
        <f t="shared" si="16"/>
        <v>1.3151995347310204</v>
      </c>
      <c r="AE49" s="112">
        <f t="shared" si="17"/>
        <v>79.652254539874036</v>
      </c>
      <c r="AF49" s="111">
        <f t="shared" si="18"/>
        <v>1.930991621208074</v>
      </c>
      <c r="AG49" s="112">
        <f t="shared" si="61"/>
        <v>0.65881854019499808</v>
      </c>
      <c r="AH49" s="112">
        <f t="shared" si="19"/>
        <v>0.64830592373250528</v>
      </c>
      <c r="AI49" s="112">
        <f t="shared" si="20"/>
        <v>0.75865985211213738</v>
      </c>
      <c r="AJ49" s="112">
        <f t="shared" si="21"/>
        <v>0.99778908451698778</v>
      </c>
      <c r="AK49" s="112">
        <f t="shared" si="22"/>
        <v>10.49660893920492</v>
      </c>
      <c r="AL49" s="111">
        <f t="shared" si="23"/>
        <v>5.5202194739738397</v>
      </c>
      <c r="AM49" s="112">
        <f>AL49/(1+AL49)</f>
        <v>0.84663092952750929</v>
      </c>
      <c r="AN49" s="112">
        <f t="shared" si="24"/>
        <v>0.82976465041438163</v>
      </c>
      <c r="AO49" s="112">
        <f t="shared" si="51"/>
        <v>0.84881599414983189</v>
      </c>
      <c r="AP49" s="112">
        <f t="shared" si="25"/>
        <v>1.1163624005781074</v>
      </c>
      <c r="AQ49" s="112">
        <f t="shared" si="26"/>
        <v>25.752345690074677</v>
      </c>
      <c r="AR49" s="197">
        <v>4</v>
      </c>
      <c r="AS49" s="141">
        <f t="shared" si="27"/>
        <v>26</v>
      </c>
      <c r="AT49" s="378">
        <f t="shared" si="28"/>
        <v>1.9727993020965306</v>
      </c>
      <c r="AU49" s="187">
        <v>1</v>
      </c>
      <c r="AV49" s="187">
        <f t="shared" si="52"/>
        <v>1.9727993020965306</v>
      </c>
      <c r="AW49" s="187">
        <f t="shared" si="29"/>
        <v>58.328658895810442</v>
      </c>
      <c r="AX49" s="188">
        <f t="shared" si="30"/>
        <v>1.5506731223428143</v>
      </c>
      <c r="AY49" s="187">
        <f t="shared" si="63"/>
        <v>0.60794662740575245</v>
      </c>
      <c r="AZ49" s="187">
        <f t="shared" si="31"/>
        <v>0.6005720522606417</v>
      </c>
      <c r="BA49" s="187">
        <f t="shared" si="53"/>
        <v>0.77251561344183128</v>
      </c>
      <c r="BB49" s="187">
        <f t="shared" si="32"/>
        <v>1.5240182630567181</v>
      </c>
      <c r="BC49" s="187">
        <f t="shared" si="33"/>
        <v>10.337862241185697</v>
      </c>
      <c r="BD49" s="188">
        <f t="shared" si="34"/>
        <v>3.1234715944120599</v>
      </c>
      <c r="BE49" s="187">
        <f t="shared" si="64"/>
        <v>0.75748590062918009</v>
      </c>
      <c r="BF49" s="187">
        <f t="shared" si="35"/>
        <v>0.74222787421687386</v>
      </c>
      <c r="BG49" s="187">
        <f t="shared" si="54"/>
        <v>0.79034642372074959</v>
      </c>
      <c r="BH49" s="198">
        <f t="shared" si="36"/>
        <v>1.5591948731307836</v>
      </c>
      <c r="BI49" s="198">
        <f t="shared" si="55"/>
        <v>24.580186167074018</v>
      </c>
      <c r="BJ49" s="199">
        <v>4</v>
      </c>
      <c r="BK49" s="124">
        <f t="shared" si="37"/>
        <v>26</v>
      </c>
      <c r="BL49" s="382">
        <f t="shared" si="38"/>
        <v>1.9727993020965306</v>
      </c>
      <c r="BM49" s="123">
        <v>1</v>
      </c>
      <c r="BN49" s="123">
        <f t="shared" si="56"/>
        <v>1.9727993020965306</v>
      </c>
      <c r="BO49" s="123">
        <f t="shared" si="57"/>
        <v>59.353165135527114</v>
      </c>
      <c r="BP49" s="122">
        <f t="shared" si="39"/>
        <v>1.5506731223428143</v>
      </c>
      <c r="BQ49" s="123">
        <f t="shared" si="65"/>
        <v>0.60794662740575245</v>
      </c>
      <c r="BR49" s="123">
        <f t="shared" si="40"/>
        <v>0.6005720522606417</v>
      </c>
      <c r="BS49" s="123">
        <f t="shared" si="41"/>
        <v>0.77251561344183128</v>
      </c>
      <c r="BT49" s="123">
        <f t="shared" si="42"/>
        <v>1.5240182630567181</v>
      </c>
      <c r="BU49" s="123">
        <f t="shared" si="58"/>
        <v>14.337799516620276</v>
      </c>
      <c r="BV49" s="122">
        <f t="shared" si="43"/>
        <v>3.1234715939283495</v>
      </c>
      <c r="BW49" s="123">
        <f t="shared" si="66"/>
        <v>0.75748590060073151</v>
      </c>
      <c r="BX49" s="123">
        <f t="shared" si="59"/>
        <v>0.74222787418267</v>
      </c>
      <c r="BY49" s="123">
        <f t="shared" si="44"/>
        <v>0.79034642368580632</v>
      </c>
      <c r="BZ49" s="200">
        <f t="shared" si="45"/>
        <v>1.5591948730618477</v>
      </c>
      <c r="CA49" s="202">
        <f t="shared" si="60"/>
        <v>34.090779549614972</v>
      </c>
    </row>
    <row r="50" spans="1:79" s="66" customFormat="1" x14ac:dyDescent="0.35">
      <c r="A50" s="190"/>
      <c r="B50" s="191">
        <v>5</v>
      </c>
      <c r="C50" s="191">
        <f t="shared" si="0"/>
        <v>25</v>
      </c>
      <c r="D50" s="192">
        <f t="shared" si="1"/>
        <v>1.3478546885818805</v>
      </c>
      <c r="E50" s="193">
        <v>1</v>
      </c>
      <c r="F50" s="194">
        <f t="shared" si="2"/>
        <v>1.3478546885818805</v>
      </c>
      <c r="G50" s="194">
        <f>E50*$F$42</f>
        <v>21.015608353664071</v>
      </c>
      <c r="H50" s="195">
        <v>5</v>
      </c>
      <c r="I50" s="102">
        <f t="shared" si="4"/>
        <v>25</v>
      </c>
      <c r="J50" s="100">
        <f t="shared" si="5"/>
        <v>1.3478546885818805</v>
      </c>
      <c r="K50" s="100">
        <v>1</v>
      </c>
      <c r="L50" s="101">
        <f t="shared" si="6"/>
        <v>1.3478546885818805</v>
      </c>
      <c r="M50" s="101">
        <f t="shared" si="7"/>
        <v>63.3304136376073</v>
      </c>
      <c r="N50" s="100">
        <f t="shared" si="8"/>
        <v>1.7608545619709621</v>
      </c>
      <c r="O50" s="101">
        <f t="shared" si="46"/>
        <v>0.6377933072700126</v>
      </c>
      <c r="P50" s="101">
        <f t="shared" si="47"/>
        <v>0.62863797464987536</v>
      </c>
      <c r="Q50" s="101">
        <f t="shared" si="67"/>
        <v>0.73564404615363177</v>
      </c>
      <c r="R50" s="101">
        <f t="shared" si="48"/>
        <v>0.99154127673551784</v>
      </c>
      <c r="S50" s="101">
        <f t="shared" si="49"/>
        <v>4.7823711079684195</v>
      </c>
      <c r="T50" s="100">
        <f t="shared" si="9"/>
        <v>4.34468891027191</v>
      </c>
      <c r="U50" s="101">
        <f t="shared" si="10"/>
        <v>0.81289837130125409</v>
      </c>
      <c r="V50" s="101">
        <f t="shared" si="11"/>
        <v>0.7964167125670194</v>
      </c>
      <c r="W50" s="101">
        <f t="shared" si="12"/>
        <v>0.81470238976499876</v>
      </c>
      <c r="X50" s="101">
        <f t="shared" si="13"/>
        <v>1.0981004358436162</v>
      </c>
      <c r="Y50" s="101">
        <f t="shared" si="50"/>
        <v>11.614453724710776</v>
      </c>
      <c r="Z50" s="196">
        <v>5</v>
      </c>
      <c r="AA50" s="113">
        <f t="shared" si="14"/>
        <v>25</v>
      </c>
      <c r="AB50" s="375">
        <f t="shared" si="15"/>
        <v>1.3478546885818805</v>
      </c>
      <c r="AC50" s="112">
        <v>1</v>
      </c>
      <c r="AD50" s="112">
        <f t="shared" si="16"/>
        <v>1.3478546885818805</v>
      </c>
      <c r="AE50" s="112">
        <f t="shared" si="17"/>
        <v>79.652254539874036</v>
      </c>
      <c r="AF50" s="111">
        <f t="shared" si="18"/>
        <v>1.7608545619709621</v>
      </c>
      <c r="AG50" s="112">
        <f>AF50/(1+AF50)</f>
        <v>0.6377933072700126</v>
      </c>
      <c r="AH50" s="112">
        <f t="shared" si="19"/>
        <v>0.62863797464987536</v>
      </c>
      <c r="AI50" s="112">
        <f t="shared" si="20"/>
        <v>0.73564404615363177</v>
      </c>
      <c r="AJ50" s="112">
        <f t="shared" si="21"/>
        <v>0.99154127673551784</v>
      </c>
      <c r="AK50" s="112">
        <f t="shared" si="22"/>
        <v>10.178168581652763</v>
      </c>
      <c r="AL50" s="111">
        <f t="shared" si="23"/>
        <v>4.34468891027191</v>
      </c>
      <c r="AM50" s="112">
        <f t="shared" si="62"/>
        <v>0.81289837130125409</v>
      </c>
      <c r="AN50" s="112">
        <f t="shared" si="24"/>
        <v>0.7964167125670194</v>
      </c>
      <c r="AO50" s="112">
        <f t="shared" si="51"/>
        <v>0.81470238976499876</v>
      </c>
      <c r="AP50" s="112">
        <f t="shared" si="25"/>
        <v>1.0981004358436162</v>
      </c>
      <c r="AQ50" s="112">
        <f t="shared" si="26"/>
        <v>24.717368334667309</v>
      </c>
      <c r="AR50" s="197">
        <v>5</v>
      </c>
      <c r="AS50" s="141">
        <f t="shared" si="27"/>
        <v>25</v>
      </c>
      <c r="AT50" s="378">
        <f t="shared" si="28"/>
        <v>2.0217820328728209</v>
      </c>
      <c r="AU50" s="187">
        <v>1</v>
      </c>
      <c r="AV50" s="187">
        <f>AU50*AT50</f>
        <v>2.0217820328728209</v>
      </c>
      <c r="AW50" s="187">
        <f t="shared" si="29"/>
        <v>58.328658895810442</v>
      </c>
      <c r="AX50" s="188">
        <f t="shared" si="30"/>
        <v>1.4581951776242987</v>
      </c>
      <c r="AY50" s="187">
        <f t="shared" si="63"/>
        <v>0.59319747711553106</v>
      </c>
      <c r="AZ50" s="187">
        <f t="shared" si="31"/>
        <v>0.58685794942342806</v>
      </c>
      <c r="BA50" s="187">
        <f t="shared" si="53"/>
        <v>0.75487516792623377</v>
      </c>
      <c r="BB50" s="187">
        <f t="shared" si="32"/>
        <v>1.526193051575113</v>
      </c>
      <c r="BC50" s="187">
        <f t="shared" si="33"/>
        <v>10.101796467963469</v>
      </c>
      <c r="BD50" s="188">
        <f t="shared" si="34"/>
        <v>2.6625991377106573</v>
      </c>
      <c r="BE50" s="187">
        <f t="shared" si="64"/>
        <v>0.72696984780456764</v>
      </c>
      <c r="BF50" s="187">
        <f t="shared" si="35"/>
        <v>0.71308850469283347</v>
      </c>
      <c r="BG50" s="187">
        <f t="shared" si="54"/>
        <v>0.75931795215182352</v>
      </c>
      <c r="BH50" s="198">
        <f t="shared" si="36"/>
        <v>1.5351753928983412</v>
      </c>
      <c r="BI50" s="198">
        <f t="shared" si="55"/>
        <v>23.615184511150229</v>
      </c>
      <c r="BJ50" s="199">
        <v>5</v>
      </c>
      <c r="BK50" s="124">
        <f t="shared" si="37"/>
        <v>25</v>
      </c>
      <c r="BL50" s="382">
        <f t="shared" si="38"/>
        <v>2.0217820328728209</v>
      </c>
      <c r="BM50" s="123">
        <v>1</v>
      </c>
      <c r="BN50" s="123">
        <f>BM50*BL50</f>
        <v>2.0217820328728209</v>
      </c>
      <c r="BO50" s="123">
        <f t="shared" si="57"/>
        <v>59.353165135527114</v>
      </c>
      <c r="BP50" s="122">
        <f t="shared" si="39"/>
        <v>1.4581951776242987</v>
      </c>
      <c r="BQ50" s="123">
        <f t="shared" si="65"/>
        <v>0.59319747711553106</v>
      </c>
      <c r="BR50" s="123">
        <f t="shared" si="40"/>
        <v>0.58685794942342806</v>
      </c>
      <c r="BS50" s="123">
        <f t="shared" si="41"/>
        <v>0.75487516792623377</v>
      </c>
      <c r="BT50" s="123">
        <f t="shared" si="42"/>
        <v>1.526193051575113</v>
      </c>
      <c r="BU50" s="123">
        <f t="shared" si="58"/>
        <v>14.010394909146223</v>
      </c>
      <c r="BV50" s="122">
        <f t="shared" si="43"/>
        <v>2.662599137174618</v>
      </c>
      <c r="BW50" s="123">
        <f t="shared" si="66"/>
        <v>0.72696984776460838</v>
      </c>
      <c r="BX50" s="123">
        <f t="shared" si="59"/>
        <v>0.71308850464639051</v>
      </c>
      <c r="BY50" s="123">
        <f t="shared" si="44"/>
        <v>0.75931795210378972</v>
      </c>
      <c r="BZ50" s="200">
        <f t="shared" si="45"/>
        <v>1.5351753928012273</v>
      </c>
      <c r="CA50" s="202">
        <f t="shared" si="60"/>
        <v>32.75239836288042</v>
      </c>
    </row>
    <row r="51" spans="1:79" s="66" customFormat="1" x14ac:dyDescent="0.35">
      <c r="A51" s="190"/>
      <c r="B51" s="191">
        <v>6</v>
      </c>
      <c r="C51" s="191">
        <f t="shared" si="0"/>
        <v>24</v>
      </c>
      <c r="D51" s="192">
        <f t="shared" si="1"/>
        <v>1.3745358920151418</v>
      </c>
      <c r="E51" s="193">
        <v>1</v>
      </c>
      <c r="F51" s="194">
        <f t="shared" si="2"/>
        <v>1.3745358920151418</v>
      </c>
      <c r="G51" s="194">
        <f t="shared" si="3"/>
        <v>21.015608353664071</v>
      </c>
      <c r="H51" s="195">
        <v>6</v>
      </c>
      <c r="I51" s="102">
        <f t="shared" si="4"/>
        <v>24</v>
      </c>
      <c r="J51" s="100">
        <f t="shared" si="5"/>
        <v>1.3745358920151418</v>
      </c>
      <c r="K51" s="100">
        <v>1</v>
      </c>
      <c r="L51" s="101">
        <f t="shared" si="6"/>
        <v>1.3745358920151418</v>
      </c>
      <c r="M51" s="101">
        <f t="shared" si="7"/>
        <v>63.3304136376073</v>
      </c>
      <c r="N51" s="100">
        <f t="shared" si="8"/>
        <v>1.6280010071922983</v>
      </c>
      <c r="O51" s="101">
        <f t="shared" si="46"/>
        <v>0.61948264202973824</v>
      </c>
      <c r="P51" s="101">
        <f t="shared" si="47"/>
        <v>0.6112674441510132</v>
      </c>
      <c r="Q51" s="101">
        <f t="shared" si="67"/>
        <v>0.71531672286850079</v>
      </c>
      <c r="R51" s="101">
        <f t="shared" si="48"/>
        <v>0.98322850974140275</v>
      </c>
      <c r="S51" s="101">
        <f>Q51*$P$42</f>
        <v>4.6502245839947278</v>
      </c>
      <c r="T51" s="100">
        <f t="shared" si="9"/>
        <v>3.5441130785098087</v>
      </c>
      <c r="U51" s="101">
        <f t="shared" si="10"/>
        <v>0.77993505383278472</v>
      </c>
      <c r="V51" s="101">
        <f t="shared" si="11"/>
        <v>0.76375759526337372</v>
      </c>
      <c r="W51" s="101">
        <f t="shared" si="12"/>
        <v>0.781293421199869</v>
      </c>
      <c r="X51" s="101">
        <f t="shared" si="13"/>
        <v>1.0739158496345238</v>
      </c>
      <c r="Y51" s="101">
        <f t="shared" si="50"/>
        <v>11.138173153713627</v>
      </c>
      <c r="Z51" s="196">
        <v>6</v>
      </c>
      <c r="AA51" s="113">
        <f t="shared" si="14"/>
        <v>24</v>
      </c>
      <c r="AB51" s="375">
        <f t="shared" si="15"/>
        <v>1.3745358920151418</v>
      </c>
      <c r="AC51" s="112">
        <v>1</v>
      </c>
      <c r="AD51" s="112">
        <f t="shared" si="16"/>
        <v>1.3745358920151418</v>
      </c>
      <c r="AE51" s="112">
        <f t="shared" si="17"/>
        <v>79.652254539874036</v>
      </c>
      <c r="AF51" s="111">
        <f t="shared" si="18"/>
        <v>1.6280010071922983</v>
      </c>
      <c r="AG51" s="112">
        <f t="shared" si="61"/>
        <v>0.61948264202973824</v>
      </c>
      <c r="AH51" s="112">
        <f t="shared" si="19"/>
        <v>0.6112674441510132</v>
      </c>
      <c r="AI51" s="112">
        <f t="shared" si="20"/>
        <v>0.71531672286850079</v>
      </c>
      <c r="AJ51" s="112">
        <f t="shared" si="21"/>
        <v>0.98322850974140275</v>
      </c>
      <c r="AK51" s="112">
        <f>AI51*$AG$42</f>
        <v>9.8969253305293634</v>
      </c>
      <c r="AL51" s="111">
        <f t="shared" si="23"/>
        <v>3.5441130785098087</v>
      </c>
      <c r="AM51" s="112">
        <f t="shared" si="62"/>
        <v>0.77993505383278472</v>
      </c>
      <c r="AN51" s="112">
        <f t="shared" si="24"/>
        <v>0.76375759526337372</v>
      </c>
      <c r="AO51" s="112">
        <f t="shared" si="51"/>
        <v>0.781293421199869</v>
      </c>
      <c r="AP51" s="112">
        <f t="shared" si="25"/>
        <v>1.0739158496345238</v>
      </c>
      <c r="AQ51" s="112">
        <f t="shared" si="26"/>
        <v>23.703769022722451</v>
      </c>
      <c r="AR51" s="197">
        <v>6</v>
      </c>
      <c r="AS51" s="141">
        <f t="shared" si="27"/>
        <v>24</v>
      </c>
      <c r="AT51" s="378">
        <f t="shared" si="28"/>
        <v>2.0618038380227128</v>
      </c>
      <c r="AU51" s="187">
        <v>1</v>
      </c>
      <c r="AV51" s="187">
        <f t="shared" si="52"/>
        <v>2.0618038380227128</v>
      </c>
      <c r="AW51" s="187">
        <f t="shared" si="29"/>
        <v>58.328658895810442</v>
      </c>
      <c r="AX51" s="188">
        <f t="shared" si="30"/>
        <v>1.3838949117319923</v>
      </c>
      <c r="AY51" s="187">
        <f t="shared" si="63"/>
        <v>0.58051842173132495</v>
      </c>
      <c r="AZ51" s="187">
        <f t="shared" si="31"/>
        <v>0.57488514444008909</v>
      </c>
      <c r="BA51" s="187">
        <f t="shared" si="53"/>
        <v>0.73947455320980093</v>
      </c>
      <c r="BB51" s="187">
        <f t="shared" si="32"/>
        <v>1.5246514719280984</v>
      </c>
      <c r="BC51" s="187">
        <f t="shared" si="33"/>
        <v>9.8957042795367194</v>
      </c>
      <c r="BD51" s="188">
        <f t="shared" si="34"/>
        <v>2.3245472374157545</v>
      </c>
      <c r="BE51" s="187">
        <f t="shared" si="64"/>
        <v>0.69920716158109919</v>
      </c>
      <c r="BF51" s="187">
        <f t="shared" si="35"/>
        <v>0.68632870151385283</v>
      </c>
      <c r="BG51" s="187">
        <f t="shared" si="54"/>
        <v>0.73082331394614664</v>
      </c>
      <c r="BH51" s="198">
        <f t="shared" si="36"/>
        <v>1.5068143136106431</v>
      </c>
      <c r="BI51" s="198">
        <f t="shared" si="55"/>
        <v>22.728986394934765</v>
      </c>
      <c r="BJ51" s="199">
        <v>6</v>
      </c>
      <c r="BK51" s="124">
        <f t="shared" si="37"/>
        <v>24</v>
      </c>
      <c r="BL51" s="382">
        <f t="shared" si="38"/>
        <v>2.0618038380227128</v>
      </c>
      <c r="BM51" s="123">
        <v>1</v>
      </c>
      <c r="BN51" s="123">
        <f t="shared" si="56"/>
        <v>2.0618038380227128</v>
      </c>
      <c r="BO51" s="123">
        <f t="shared" si="57"/>
        <v>59.353165135527114</v>
      </c>
      <c r="BP51" s="122">
        <f t="shared" si="39"/>
        <v>1.3838949117319923</v>
      </c>
      <c r="BQ51" s="123">
        <f t="shared" si="65"/>
        <v>0.58051842173132495</v>
      </c>
      <c r="BR51" s="123">
        <f t="shared" si="40"/>
        <v>0.57488514444008909</v>
      </c>
      <c r="BS51" s="123">
        <f t="shared" si="41"/>
        <v>0.73947455320980093</v>
      </c>
      <c r="BT51" s="123">
        <f t="shared" si="42"/>
        <v>1.5246514719280984</v>
      </c>
      <c r="BU51" s="123">
        <f t="shared" si="58"/>
        <v>13.724561299579246</v>
      </c>
      <c r="BV51" s="122">
        <f t="shared" si="43"/>
        <v>2.3245472368307771</v>
      </c>
      <c r="BW51" s="123">
        <f t="shared" si="66"/>
        <v>0.69920716152817264</v>
      </c>
      <c r="BX51" s="123">
        <f t="shared" si="59"/>
        <v>0.68632870145370306</v>
      </c>
      <c r="BY51" s="123">
        <f t="shared" si="44"/>
        <v>0.730823313883464</v>
      </c>
      <c r="BZ51" s="200">
        <f t="shared" si="45"/>
        <v>1.5068143134814038</v>
      </c>
      <c r="CA51" s="202">
        <f t="shared" si="60"/>
        <v>31.52331147034413</v>
      </c>
    </row>
    <row r="52" spans="1:79" s="66" customFormat="1" x14ac:dyDescent="0.35">
      <c r="A52" s="190"/>
      <c r="B52" s="191">
        <v>7</v>
      </c>
      <c r="C52" s="191">
        <f t="shared" si="0"/>
        <v>23</v>
      </c>
      <c r="D52" s="192">
        <f t="shared" si="1"/>
        <v>1.3970945280874236</v>
      </c>
      <c r="E52" s="193">
        <v>1</v>
      </c>
      <c r="F52" s="194">
        <f t="shared" si="2"/>
        <v>1.3970945280874236</v>
      </c>
      <c r="G52" s="194">
        <f t="shared" si="3"/>
        <v>21.015608353664071</v>
      </c>
      <c r="H52" s="195">
        <v>7</v>
      </c>
      <c r="I52" s="102">
        <f t="shared" si="4"/>
        <v>23</v>
      </c>
      <c r="J52" s="100">
        <f t="shared" si="5"/>
        <v>1.3970945280874236</v>
      </c>
      <c r="K52" s="100">
        <v>1</v>
      </c>
      <c r="L52" s="101">
        <f t="shared" si="6"/>
        <v>1.3970945280874236</v>
      </c>
      <c r="M52" s="101">
        <f t="shared" si="7"/>
        <v>63.3304136376073</v>
      </c>
      <c r="N52" s="100">
        <f t="shared" si="8"/>
        <v>1.5192232242381059</v>
      </c>
      <c r="O52" s="101">
        <f t="shared" si="46"/>
        <v>0.60305224627228815</v>
      </c>
      <c r="P52" s="101">
        <f t="shared" si="47"/>
        <v>0.59551708570817008</v>
      </c>
      <c r="Q52" s="101">
        <f t="shared" si="67"/>
        <v>0.69688535556251452</v>
      </c>
      <c r="R52" s="101">
        <f t="shared" si="48"/>
        <v>0.97361471696064761</v>
      </c>
      <c r="S52" s="101">
        <f t="shared" si="49"/>
        <v>4.5304035388229789</v>
      </c>
      <c r="T52" s="100">
        <f t="shared" si="9"/>
        <v>2.9616533615961376</v>
      </c>
      <c r="U52" s="101">
        <f t="shared" si="10"/>
        <v>0.74758013669396273</v>
      </c>
      <c r="V52" s="101">
        <f t="shared" si="11"/>
        <v>0.73164707180557009</v>
      </c>
      <c r="W52" s="101">
        <f t="shared" si="12"/>
        <v>0.74844564216048048</v>
      </c>
      <c r="X52" s="101">
        <f t="shared" si="13"/>
        <v>1.0456493112332852</v>
      </c>
      <c r="Y52" s="101">
        <f t="shared" si="50"/>
        <v>10.669892939484049</v>
      </c>
      <c r="Z52" s="196">
        <v>7</v>
      </c>
      <c r="AA52" s="113">
        <f t="shared" si="14"/>
        <v>23</v>
      </c>
      <c r="AB52" s="375">
        <f t="shared" si="15"/>
        <v>1.3970945280874236</v>
      </c>
      <c r="AC52" s="112">
        <v>1</v>
      </c>
      <c r="AD52" s="112">
        <f t="shared" si="16"/>
        <v>1.3970945280874236</v>
      </c>
      <c r="AE52" s="112">
        <f t="shared" si="17"/>
        <v>79.652254539874036</v>
      </c>
      <c r="AF52" s="111">
        <f t="shared" si="18"/>
        <v>1.5192232242381059</v>
      </c>
      <c r="AG52" s="112">
        <f t="shared" si="61"/>
        <v>0.60305224627228815</v>
      </c>
      <c r="AH52" s="112">
        <f t="shared" si="19"/>
        <v>0.59551708570817008</v>
      </c>
      <c r="AI52" s="112">
        <f t="shared" si="20"/>
        <v>0.69688535556251452</v>
      </c>
      <c r="AJ52" s="112">
        <f t="shared" si="21"/>
        <v>0.97361471696064761</v>
      </c>
      <c r="AK52" s="112">
        <f t="shared" si="22"/>
        <v>9.6419140045877505</v>
      </c>
      <c r="AL52" s="111">
        <f t="shared" si="23"/>
        <v>2.9616533615961376</v>
      </c>
      <c r="AM52" s="112">
        <f t="shared" si="62"/>
        <v>0.74758013669396273</v>
      </c>
      <c r="AN52" s="112">
        <f t="shared" si="24"/>
        <v>0.73164707180557009</v>
      </c>
      <c r="AO52" s="112">
        <f t="shared" si="51"/>
        <v>0.74844564216048048</v>
      </c>
      <c r="AP52" s="112">
        <f t="shared" si="25"/>
        <v>1.0456493112332852</v>
      </c>
      <c r="AQ52" s="112">
        <f>AO52*$AM$42</f>
        <v>22.707195717313926</v>
      </c>
      <c r="AR52" s="197">
        <v>7</v>
      </c>
      <c r="AS52" s="141">
        <f t="shared" si="27"/>
        <v>23</v>
      </c>
      <c r="AT52" s="378">
        <f t="shared" si="28"/>
        <v>2.0956417921311354</v>
      </c>
      <c r="AU52" s="187">
        <v>1</v>
      </c>
      <c r="AV52" s="187">
        <f t="shared" si="52"/>
        <v>2.0956417921311354</v>
      </c>
      <c r="AW52" s="187">
        <f t="shared" si="29"/>
        <v>58.328658895810442</v>
      </c>
      <c r="AX52" s="188">
        <f t="shared" si="30"/>
        <v>1.3215422743238432</v>
      </c>
      <c r="AY52" s="187">
        <f>AX52/(1+AX52)</f>
        <v>0.56925186714885334</v>
      </c>
      <c r="AZ52" s="187">
        <f t="shared" si="31"/>
        <v>0.56412364015853367</v>
      </c>
      <c r="BA52" s="187">
        <f t="shared" si="53"/>
        <v>0.72563203414763389</v>
      </c>
      <c r="BB52" s="187">
        <f t="shared" si="32"/>
        <v>1.5206648164689087</v>
      </c>
      <c r="BC52" s="187">
        <f t="shared" si="33"/>
        <v>9.7104626447455473</v>
      </c>
      <c r="BD52" s="188">
        <f t="shared" si="34"/>
        <v>2.0623204390962431</v>
      </c>
      <c r="BE52" s="187">
        <f t="shared" si="64"/>
        <v>0.67345024144660659</v>
      </c>
      <c r="BF52" s="187">
        <f t="shared" si="35"/>
        <v>0.66132610933798452</v>
      </c>
      <c r="BG52" s="187">
        <f t="shared" si="54"/>
        <v>0.70419980653503589</v>
      </c>
      <c r="BH52" s="198">
        <f t="shared" si="36"/>
        <v>1.4757505445854815</v>
      </c>
      <c r="BI52" s="198">
        <f t="shared" si="55"/>
        <v>21.900981422754619</v>
      </c>
      <c r="BJ52" s="199">
        <v>7</v>
      </c>
      <c r="BK52" s="124">
        <f t="shared" si="37"/>
        <v>23</v>
      </c>
      <c r="BL52" s="382">
        <f t="shared" si="38"/>
        <v>2.0956417921311354</v>
      </c>
      <c r="BM52" s="123">
        <v>1</v>
      </c>
      <c r="BN52" s="123">
        <f t="shared" si="56"/>
        <v>2.0956417921311354</v>
      </c>
      <c r="BO52" s="123">
        <f t="shared" si="57"/>
        <v>59.353165135527114</v>
      </c>
      <c r="BP52" s="122">
        <f t="shared" si="39"/>
        <v>1.3215422743238432</v>
      </c>
      <c r="BQ52" s="123">
        <f t="shared" si="65"/>
        <v>0.56925186714885334</v>
      </c>
      <c r="BR52" s="123">
        <f t="shared" si="40"/>
        <v>0.56412364015853367</v>
      </c>
      <c r="BS52" s="123">
        <f t="shared" si="41"/>
        <v>0.72563203414763389</v>
      </c>
      <c r="BT52" s="123">
        <f t="shared" si="42"/>
        <v>1.5206648164689087</v>
      </c>
      <c r="BU52" s="123">
        <f t="shared" si="58"/>
        <v>13.467645763291136</v>
      </c>
      <c r="BV52" s="122">
        <f t="shared" si="43"/>
        <v>2.0623204384644316</v>
      </c>
      <c r="BW52" s="123">
        <f t="shared" si="66"/>
        <v>0.67345024137923348</v>
      </c>
      <c r="BX52" s="123">
        <f t="shared" si="59"/>
        <v>0.66132610926261726</v>
      </c>
      <c r="BY52" s="123">
        <f t="shared" si="44"/>
        <v>0.70419980645609948</v>
      </c>
      <c r="BZ52" s="200">
        <f t="shared" si="45"/>
        <v>1.4757505444200589</v>
      </c>
      <c r="CA52" s="202">
        <f t="shared" si="60"/>
        <v>30.374933878767106</v>
      </c>
    </row>
    <row r="53" spans="1:79" s="66" customFormat="1" x14ac:dyDescent="0.35">
      <c r="A53" s="190"/>
      <c r="B53" s="191">
        <v>8</v>
      </c>
      <c r="C53" s="191">
        <f t="shared" si="0"/>
        <v>22</v>
      </c>
      <c r="D53" s="192">
        <f t="shared" si="1"/>
        <v>1.4166357074958904</v>
      </c>
      <c r="E53" s="193">
        <v>1</v>
      </c>
      <c r="F53" s="194">
        <f t="shared" si="2"/>
        <v>1.4166357074958904</v>
      </c>
      <c r="G53" s="194">
        <f t="shared" si="3"/>
        <v>21.015608353664071</v>
      </c>
      <c r="H53" s="195">
        <v>8</v>
      </c>
      <c r="I53" s="102">
        <f t="shared" si="4"/>
        <v>22</v>
      </c>
      <c r="J53" s="100">
        <f t="shared" si="5"/>
        <v>1.4166357074958904</v>
      </c>
      <c r="K53" s="100">
        <v>1</v>
      </c>
      <c r="L53" s="101">
        <f t="shared" si="6"/>
        <v>1.4166357074958904</v>
      </c>
      <c r="M53" s="101">
        <f t="shared" si="7"/>
        <v>63.3304136376073</v>
      </c>
      <c r="N53" s="100">
        <f t="shared" si="8"/>
        <v>1.4270779876577637</v>
      </c>
      <c r="O53" s="101">
        <f>N53/(1+N53)</f>
        <v>0.58798192514405201</v>
      </c>
      <c r="P53" s="101">
        <f t="shared" si="47"/>
        <v>0.58095159433605703</v>
      </c>
      <c r="Q53" s="101">
        <f>P53/$P$45</f>
        <v>0.67984054210980371</v>
      </c>
      <c r="R53" s="101">
        <f>Q53*J53</f>
        <v>0.96308638735611141</v>
      </c>
      <c r="S53" s="101">
        <f t="shared" si="49"/>
        <v>4.419596384434711</v>
      </c>
      <c r="T53" s="100">
        <f t="shared" si="9"/>
        <v>2.5175844900267914</v>
      </c>
      <c r="U53" s="101">
        <f t="shared" si="10"/>
        <v>0.71571400691717757</v>
      </c>
      <c r="V53" s="101">
        <f t="shared" si="11"/>
        <v>0.69997827999722895</v>
      </c>
      <c r="W53" s="101">
        <f t="shared" si="12"/>
        <v>0.71604973690120377</v>
      </c>
      <c r="X53" s="101">
        <f t="shared" si="13"/>
        <v>1.0143816256372831</v>
      </c>
      <c r="Y53" s="101">
        <f t="shared" si="50"/>
        <v>10.208054669177125</v>
      </c>
      <c r="Z53" s="196">
        <v>8</v>
      </c>
      <c r="AA53" s="113">
        <f t="shared" si="14"/>
        <v>22</v>
      </c>
      <c r="AB53" s="375">
        <f t="shared" si="15"/>
        <v>1.4166357074958904</v>
      </c>
      <c r="AC53" s="112">
        <v>1</v>
      </c>
      <c r="AD53" s="112">
        <f t="shared" si="16"/>
        <v>1.4166357074958904</v>
      </c>
      <c r="AE53" s="112">
        <f t="shared" si="17"/>
        <v>79.652254539874036</v>
      </c>
      <c r="AF53" s="111">
        <f t="shared" si="18"/>
        <v>1.4270779876577637</v>
      </c>
      <c r="AG53" s="112">
        <f>AF53/(1+AF53)</f>
        <v>0.58798192514405201</v>
      </c>
      <c r="AH53" s="112">
        <f t="shared" si="19"/>
        <v>0.58095159433605703</v>
      </c>
      <c r="AI53" s="112">
        <f t="shared" si="20"/>
        <v>0.67984054210980371</v>
      </c>
      <c r="AJ53" s="112">
        <f t="shared" si="21"/>
        <v>0.96308638735611141</v>
      </c>
      <c r="AK53" s="112">
        <f t="shared" si="22"/>
        <v>9.4060866561961038</v>
      </c>
      <c r="AL53" s="111">
        <f t="shared" si="23"/>
        <v>2.5175844900267914</v>
      </c>
      <c r="AM53" s="112">
        <f t="shared" si="62"/>
        <v>0.71571400691717757</v>
      </c>
      <c r="AN53" s="112">
        <f t="shared" si="24"/>
        <v>0.69997827999722895</v>
      </c>
      <c r="AO53" s="112">
        <f t="shared" si="51"/>
        <v>0.71604973690120377</v>
      </c>
      <c r="AP53" s="112">
        <f t="shared" si="25"/>
        <v>1.0143816256372831</v>
      </c>
      <c r="AQ53" s="112">
        <f t="shared" si="26"/>
        <v>21.724331872935732</v>
      </c>
      <c r="AR53" s="197">
        <v>8</v>
      </c>
      <c r="AS53" s="141">
        <f t="shared" si="27"/>
        <v>22</v>
      </c>
      <c r="AT53" s="378">
        <f t="shared" si="28"/>
        <v>2.1249535612438359</v>
      </c>
      <c r="AU53" s="187">
        <v>1</v>
      </c>
      <c r="AV53" s="187">
        <f t="shared" si="52"/>
        <v>2.1249535612438359</v>
      </c>
      <c r="AW53" s="187">
        <f t="shared" si="29"/>
        <v>58.328658895810442</v>
      </c>
      <c r="AX53" s="188">
        <f t="shared" si="30"/>
        <v>1.2675501114037937</v>
      </c>
      <c r="AY53" s="187">
        <f t="shared" si="63"/>
        <v>0.55899541316821411</v>
      </c>
      <c r="AZ53" s="187">
        <f t="shared" si="31"/>
        <v>0.55423879573658996</v>
      </c>
      <c r="BA53" s="187">
        <f t="shared" si="53"/>
        <v>0.71291716234557267</v>
      </c>
      <c r="BB53" s="187">
        <f t="shared" si="32"/>
        <v>1.5149158629980746</v>
      </c>
      <c r="BC53" s="187">
        <f t="shared" si="33"/>
        <v>9.5403112706931683</v>
      </c>
      <c r="BD53" s="188">
        <f t="shared" si="34"/>
        <v>1.8506432051751627</v>
      </c>
      <c r="BE53" s="187">
        <f t="shared" si="64"/>
        <v>0.64920197722936235</v>
      </c>
      <c r="BF53" s="187">
        <f t="shared" si="35"/>
        <v>0.63765532047384621</v>
      </c>
      <c r="BG53" s="187">
        <f t="shared" si="54"/>
        <v>0.67899444309438139</v>
      </c>
      <c r="BH53" s="198">
        <f t="shared" si="36"/>
        <v>1.442831659918181</v>
      </c>
      <c r="BI53" s="198">
        <f t="shared" si="55"/>
        <v>21.117081468019133</v>
      </c>
      <c r="BJ53" s="199">
        <v>8</v>
      </c>
      <c r="BK53" s="124">
        <f t="shared" si="37"/>
        <v>22</v>
      </c>
      <c r="BL53" s="382">
        <f t="shared" si="38"/>
        <v>2.1249535612438359</v>
      </c>
      <c r="BM53" s="123">
        <v>1</v>
      </c>
      <c r="BN53" s="123">
        <f t="shared" si="56"/>
        <v>2.1249535612438359</v>
      </c>
      <c r="BO53" s="123">
        <f t="shared" si="57"/>
        <v>59.353165135527114</v>
      </c>
      <c r="BP53" s="122">
        <f t="shared" si="39"/>
        <v>1.2675501114037937</v>
      </c>
      <c r="BQ53" s="123">
        <f t="shared" si="65"/>
        <v>0.55899541316821411</v>
      </c>
      <c r="BR53" s="123">
        <f t="shared" si="40"/>
        <v>0.55423879573658996</v>
      </c>
      <c r="BS53" s="123">
        <f t="shared" si="41"/>
        <v>0.71291716234557267</v>
      </c>
      <c r="BT53" s="123">
        <f t="shared" si="42"/>
        <v>1.5149158629980746</v>
      </c>
      <c r="BU53" s="123">
        <f t="shared" si="58"/>
        <v>13.231659228384411</v>
      </c>
      <c r="BV53" s="122">
        <f t="shared" si="43"/>
        <v>1.8506432044977534</v>
      </c>
      <c r="BW53" s="123">
        <f t="shared" si="66"/>
        <v>0.64920197714600092</v>
      </c>
      <c r="BX53" s="123">
        <f t="shared" si="59"/>
        <v>0.63765532038167039</v>
      </c>
      <c r="BY53" s="123">
        <f t="shared" si="44"/>
        <v>0.67899444299749967</v>
      </c>
      <c r="BZ53" s="200">
        <f t="shared" si="45"/>
        <v>1.4428316597123116</v>
      </c>
      <c r="CA53" s="202">
        <f t="shared" si="60"/>
        <v>29.287726467708278</v>
      </c>
    </row>
    <row r="54" spans="1:79" s="66" customFormat="1" x14ac:dyDescent="0.35">
      <c r="A54" s="190"/>
      <c r="B54" s="191">
        <v>9</v>
      </c>
      <c r="C54" s="191">
        <f t="shared" si="0"/>
        <v>21</v>
      </c>
      <c r="D54" s="192">
        <f t="shared" si="1"/>
        <v>1.4338722492992637</v>
      </c>
      <c r="E54" s="193">
        <v>1</v>
      </c>
      <c r="F54" s="194">
        <f t="shared" si="2"/>
        <v>1.4338722492992637</v>
      </c>
      <c r="G54" s="194">
        <f t="shared" si="3"/>
        <v>21.015608353664071</v>
      </c>
      <c r="H54" s="195">
        <v>9</v>
      </c>
      <c r="I54" s="102">
        <f t="shared" si="4"/>
        <v>21</v>
      </c>
      <c r="J54" s="100">
        <f t="shared" si="5"/>
        <v>1.4338722492992637</v>
      </c>
      <c r="K54" s="100">
        <v>1</v>
      </c>
      <c r="L54" s="101">
        <f t="shared" si="6"/>
        <v>1.4338722492992637</v>
      </c>
      <c r="M54" s="101">
        <f t="shared" si="7"/>
        <v>63.3304136376073</v>
      </c>
      <c r="N54" s="100">
        <f t="shared" si="8"/>
        <v>1.3469840534176987</v>
      </c>
      <c r="O54" s="101">
        <f t="shared" si="46"/>
        <v>0.57392126352806216</v>
      </c>
      <c r="P54" s="101">
        <f t="shared" si="47"/>
        <v>0.56727032736168914</v>
      </c>
      <c r="Q54" s="101">
        <f t="shared" si="67"/>
        <v>0.66383046476896612</v>
      </c>
      <c r="R54" s="101">
        <f t="shared" si="48"/>
        <v>0.95184808167165313</v>
      </c>
      <c r="S54" s="101">
        <f t="shared" si="49"/>
        <v>4.3155159780051431</v>
      </c>
      <c r="T54" s="100">
        <f t="shared" si="9"/>
        <v>2.1669878564882938</v>
      </c>
      <c r="U54" s="101">
        <f t="shared" si="10"/>
        <v>0.68424255307728044</v>
      </c>
      <c r="V54" s="101">
        <f t="shared" si="11"/>
        <v>0.66866547707418134</v>
      </c>
      <c r="W54" s="101">
        <f t="shared" si="12"/>
        <v>0.68401799400944396</v>
      </c>
      <c r="X54" s="101">
        <f t="shared" si="13"/>
        <v>0.98079441963149172</v>
      </c>
      <c r="Y54" s="101">
        <f t="shared" si="50"/>
        <v>9.7514079228167887</v>
      </c>
      <c r="Z54" s="196">
        <v>9</v>
      </c>
      <c r="AA54" s="113">
        <f t="shared" si="14"/>
        <v>21</v>
      </c>
      <c r="AB54" s="375">
        <f t="shared" si="15"/>
        <v>1.4338722492992637</v>
      </c>
      <c r="AC54" s="112">
        <v>1</v>
      </c>
      <c r="AD54" s="112">
        <f t="shared" si="16"/>
        <v>1.4338722492992637</v>
      </c>
      <c r="AE54" s="112">
        <f t="shared" si="17"/>
        <v>79.652254539874036</v>
      </c>
      <c r="AF54" s="111">
        <f t="shared" si="18"/>
        <v>1.3469840534176987</v>
      </c>
      <c r="AG54" s="112">
        <f t="shared" si="61"/>
        <v>0.57392126352806216</v>
      </c>
      <c r="AH54" s="112">
        <f t="shared" si="19"/>
        <v>0.56727032736168914</v>
      </c>
      <c r="AI54" s="112">
        <f t="shared" si="20"/>
        <v>0.66383046476896612</v>
      </c>
      <c r="AJ54" s="112">
        <f t="shared" si="21"/>
        <v>0.95184808167165313</v>
      </c>
      <c r="AK54" s="112">
        <f t="shared" si="22"/>
        <v>9.184575631900648</v>
      </c>
      <c r="AL54" s="111">
        <f t="shared" si="23"/>
        <v>2.1669878564882938</v>
      </c>
      <c r="AM54" s="112">
        <f t="shared" si="62"/>
        <v>0.68424255307728044</v>
      </c>
      <c r="AN54" s="112">
        <f t="shared" si="24"/>
        <v>0.66866547707418134</v>
      </c>
      <c r="AO54" s="112">
        <f t="shared" si="51"/>
        <v>0.68401799400944396</v>
      </c>
      <c r="AP54" s="112">
        <f t="shared" si="25"/>
        <v>0.98079441963149172</v>
      </c>
      <c r="AQ54" s="112">
        <f t="shared" si="26"/>
        <v>20.752516400925927</v>
      </c>
      <c r="AR54" s="197">
        <v>9</v>
      </c>
      <c r="AS54" s="141">
        <f t="shared" si="27"/>
        <v>21</v>
      </c>
      <c r="AT54" s="378">
        <f t="shared" si="28"/>
        <v>2.1508083739488955</v>
      </c>
      <c r="AU54" s="187">
        <v>1</v>
      </c>
      <c r="AV54" s="187">
        <f t="shared" si="52"/>
        <v>2.1508083739488955</v>
      </c>
      <c r="AW54" s="187">
        <f t="shared" si="29"/>
        <v>58.328658895810442</v>
      </c>
      <c r="AX54" s="188">
        <f t="shared" si="30"/>
        <v>1.2196680172109216</v>
      </c>
      <c r="AY54" s="187">
        <f>AX54/(1+AX54)</f>
        <v>0.54948217830496582</v>
      </c>
      <c r="AZ54" s="187">
        <f t="shared" si="31"/>
        <v>0.54500289905463051</v>
      </c>
      <c r="BA54" s="187">
        <f>AZ54/$AZ$45</f>
        <v>0.70103703178656218</v>
      </c>
      <c r="BB54" s="187">
        <f t="shared" si="32"/>
        <v>1.507796318414816</v>
      </c>
      <c r="BC54" s="187">
        <f t="shared" si="33"/>
        <v>9.381330466953596</v>
      </c>
      <c r="BD54" s="188">
        <f t="shared" si="34"/>
        <v>1.6745738747116981</v>
      </c>
      <c r="BE54" s="187">
        <f t="shared" si="64"/>
        <v>0.62610866371833018</v>
      </c>
      <c r="BF54" s="187">
        <f t="shared" si="35"/>
        <v>0.61500669236480776</v>
      </c>
      <c r="BG54" s="187">
        <f t="shared" si="54"/>
        <v>0.65487750697547531</v>
      </c>
      <c r="BH54" s="198">
        <f t="shared" si="36"/>
        <v>1.4085160259136285</v>
      </c>
      <c r="BI54" s="198">
        <f t="shared" si="55"/>
        <v>20.367032170912939</v>
      </c>
      <c r="BJ54" s="199">
        <v>9</v>
      </c>
      <c r="BK54" s="124">
        <f t="shared" si="37"/>
        <v>21</v>
      </c>
      <c r="BL54" s="382">
        <f t="shared" si="38"/>
        <v>2.1508083739488955</v>
      </c>
      <c r="BM54" s="123">
        <v>1</v>
      </c>
      <c r="BN54" s="123">
        <f>BM54*BL54</f>
        <v>2.1508083739488955</v>
      </c>
      <c r="BO54" s="123">
        <f t="shared" si="57"/>
        <v>59.353165135527114</v>
      </c>
      <c r="BP54" s="122">
        <f t="shared" si="39"/>
        <v>1.2196680172109216</v>
      </c>
      <c r="BQ54" s="123">
        <f t="shared" si="65"/>
        <v>0.54948217830496582</v>
      </c>
      <c r="BR54" s="123">
        <f t="shared" si="40"/>
        <v>0.54500289905463051</v>
      </c>
      <c r="BS54" s="123">
        <f t="shared" si="41"/>
        <v>0.70103703178656218</v>
      </c>
      <c r="BT54" s="123">
        <f t="shared" si="42"/>
        <v>1.507796318414816</v>
      </c>
      <c r="BU54" s="123">
        <f t="shared" si="58"/>
        <v>13.011165393408747</v>
      </c>
      <c r="BV54" s="122">
        <f t="shared" si="43"/>
        <v>1.6745738739892797</v>
      </c>
      <c r="BW54" s="123">
        <f t="shared" si="66"/>
        <v>0.62610866361733997</v>
      </c>
      <c r="BX54" s="123">
        <f t="shared" si="59"/>
        <v>0.61500669225411642</v>
      </c>
      <c r="BY54" s="123">
        <f t="shared" si="44"/>
        <v>0.65487750685883261</v>
      </c>
      <c r="BZ54" s="200">
        <f t="shared" si="45"/>
        <v>1.4085160256627525</v>
      </c>
      <c r="CA54" s="202">
        <f t="shared" si="60"/>
        <v>28.247467248869473</v>
      </c>
    </row>
    <row r="55" spans="1:79" s="66" customFormat="1" x14ac:dyDescent="0.35">
      <c r="A55" s="190"/>
      <c r="B55" s="191">
        <v>10</v>
      </c>
      <c r="C55" s="191">
        <f t="shared" si="0"/>
        <v>20</v>
      </c>
      <c r="D55" s="192">
        <f t="shared" si="1"/>
        <v>1.4492908613467503</v>
      </c>
      <c r="E55" s="193">
        <v>1</v>
      </c>
      <c r="F55" s="194">
        <f t="shared" si="2"/>
        <v>1.4492908613467503</v>
      </c>
      <c r="G55" s="194">
        <f t="shared" si="3"/>
        <v>21.015608353664071</v>
      </c>
      <c r="H55" s="195">
        <v>10</v>
      </c>
      <c r="I55" s="102">
        <f t="shared" si="4"/>
        <v>20</v>
      </c>
      <c r="J55" s="100">
        <f t="shared" si="5"/>
        <v>1.4492908613467503</v>
      </c>
      <c r="K55" s="100">
        <v>1</v>
      </c>
      <c r="L55" s="101">
        <f t="shared" si="6"/>
        <v>1.4492908613467503</v>
      </c>
      <c r="M55" s="101">
        <f t="shared" si="7"/>
        <v>63.3304136376073</v>
      </c>
      <c r="N55" s="100">
        <f t="shared" si="8"/>
        <v>1.2759311174893613</v>
      </c>
      <c r="O55" s="101">
        <f t="shared" si="46"/>
        <v>0.56061939119531612</v>
      </c>
      <c r="P55" s="101">
        <f t="shared" si="47"/>
        <v>0.55425327626219434</v>
      </c>
      <c r="Q55" s="101">
        <f t="shared" si="67"/>
        <v>0.64859766540593944</v>
      </c>
      <c r="R55" s="101">
        <f t="shared" si="48"/>
        <v>0.94000666916366538</v>
      </c>
      <c r="S55" s="101">
        <f t="shared" si="49"/>
        <v>4.2164886019961694</v>
      </c>
      <c r="T55" s="100">
        <f t="shared" si="9"/>
        <v>1.882578740772803</v>
      </c>
      <c r="U55" s="101">
        <f t="shared" si="10"/>
        <v>0.65308840107108213</v>
      </c>
      <c r="V55" s="101">
        <f t="shared" si="11"/>
        <v>0.63763699221875147</v>
      </c>
      <c r="W55" s="101">
        <f t="shared" si="12"/>
        <v>0.65227709711009807</v>
      </c>
      <c r="X55" s="101">
        <f t="shared" si="13"/>
        <v>0.94533923590745195</v>
      </c>
      <c r="Y55" s="101">
        <f t="shared" si="50"/>
        <v>9.298907497078984</v>
      </c>
      <c r="Z55" s="196">
        <v>10</v>
      </c>
      <c r="AA55" s="113">
        <f t="shared" si="14"/>
        <v>20</v>
      </c>
      <c r="AB55" s="375">
        <f t="shared" si="15"/>
        <v>1.4492908613467503</v>
      </c>
      <c r="AC55" s="112">
        <v>1</v>
      </c>
      <c r="AD55" s="112">
        <f t="shared" si="16"/>
        <v>1.4492908613467503</v>
      </c>
      <c r="AE55" s="112">
        <f t="shared" si="17"/>
        <v>79.652254539874036</v>
      </c>
      <c r="AF55" s="111">
        <f t="shared" si="18"/>
        <v>1.2759311174893613</v>
      </c>
      <c r="AG55" s="112">
        <f t="shared" si="61"/>
        <v>0.56061939119531612</v>
      </c>
      <c r="AH55" s="112">
        <f t="shared" si="19"/>
        <v>0.55425327626219434</v>
      </c>
      <c r="AI55" s="112">
        <f>AH55/$AH$45</f>
        <v>0.64859766540593944</v>
      </c>
      <c r="AJ55" s="112">
        <f t="shared" si="21"/>
        <v>0.94000666916366538</v>
      </c>
      <c r="AK55" s="112">
        <f t="shared" si="22"/>
        <v>8.9738188118080675</v>
      </c>
      <c r="AL55" s="111">
        <f t="shared" si="23"/>
        <v>1.882578740772803</v>
      </c>
      <c r="AM55" s="112">
        <f t="shared" si="62"/>
        <v>0.65308840107108213</v>
      </c>
      <c r="AN55" s="112">
        <f t="shared" si="24"/>
        <v>0.63763699221875147</v>
      </c>
      <c r="AO55" s="112">
        <f t="shared" si="51"/>
        <v>0.65227709711009807</v>
      </c>
      <c r="AP55" s="112">
        <f t="shared" si="25"/>
        <v>0.94533923590745195</v>
      </c>
      <c r="AQ55" s="112">
        <f t="shared" si="26"/>
        <v>19.789524945653362</v>
      </c>
      <c r="AR55" s="197">
        <v>10</v>
      </c>
      <c r="AS55" s="141">
        <f t="shared" si="27"/>
        <v>20</v>
      </c>
      <c r="AT55" s="378">
        <f t="shared" si="28"/>
        <v>2.1739362920201253</v>
      </c>
      <c r="AU55" s="187">
        <v>1</v>
      </c>
      <c r="AV55" s="187">
        <f t="shared" si="52"/>
        <v>2.1739362920201253</v>
      </c>
      <c r="AW55" s="187">
        <f t="shared" si="29"/>
        <v>58.328658895810442</v>
      </c>
      <c r="AX55" s="188">
        <f t="shared" si="30"/>
        <v>1.1763904372496141</v>
      </c>
      <c r="AY55" s="187">
        <f t="shared" si="63"/>
        <v>0.5405236198042952</v>
      </c>
      <c r="AZ55" s="187">
        <f t="shared" si="31"/>
        <v>0.53625141691079881</v>
      </c>
      <c r="BA55" s="187">
        <f t="shared" si="53"/>
        <v>0.68978000347260837</v>
      </c>
      <c r="BB55" s="187">
        <f t="shared" si="32"/>
        <v>1.4995377830588714</v>
      </c>
      <c r="BC55" s="187">
        <f t="shared" si="33"/>
        <v>9.2306880644831839</v>
      </c>
      <c r="BD55" s="188">
        <f t="shared" si="34"/>
        <v>1.5246450867910786</v>
      </c>
      <c r="BE55" s="187">
        <f t="shared" si="64"/>
        <v>0.60390472101128534</v>
      </c>
      <c r="BF55" s="187">
        <f t="shared" si="35"/>
        <v>0.59314304363136205</v>
      </c>
      <c r="BG55" s="187">
        <f t="shared" si="54"/>
        <v>0.63159644035668594</v>
      </c>
      <c r="BH55" s="198">
        <f t="shared" si="36"/>
        <v>1.3730504236021241</v>
      </c>
      <c r="BI55" s="198">
        <f t="shared" si="55"/>
        <v>19.642978851402901</v>
      </c>
      <c r="BJ55" s="199">
        <v>10</v>
      </c>
      <c r="BK55" s="124">
        <f t="shared" si="37"/>
        <v>20</v>
      </c>
      <c r="BL55" s="382">
        <f t="shared" si="38"/>
        <v>2.1739362920201253</v>
      </c>
      <c r="BM55" s="123">
        <v>1</v>
      </c>
      <c r="BN55" s="123">
        <f t="shared" si="56"/>
        <v>2.1739362920201253</v>
      </c>
      <c r="BO55" s="123">
        <f t="shared" si="57"/>
        <v>59.353165135527114</v>
      </c>
      <c r="BP55" s="122">
        <f t="shared" si="39"/>
        <v>1.1763904372496141</v>
      </c>
      <c r="BQ55" s="123">
        <f t="shared" si="65"/>
        <v>0.5405236198042952</v>
      </c>
      <c r="BR55" s="123">
        <f t="shared" si="40"/>
        <v>0.53625141691079881</v>
      </c>
      <c r="BS55" s="123">
        <f t="shared" si="41"/>
        <v>0.68978000347260837</v>
      </c>
      <c r="BT55" s="123">
        <f t="shared" si="42"/>
        <v>1.4995377830588714</v>
      </c>
      <c r="BU55" s="123">
        <f t="shared" si="58"/>
        <v>12.802236263291507</v>
      </c>
      <c r="BV55" s="122">
        <f t="shared" si="43"/>
        <v>1.5246450860237168</v>
      </c>
      <c r="BW55" s="123">
        <f t="shared" si="66"/>
        <v>0.60390472089089287</v>
      </c>
      <c r="BX55" s="123">
        <f t="shared" si="59"/>
        <v>0.59314304350029667</v>
      </c>
      <c r="BY55" s="123">
        <f t="shared" si="44"/>
        <v>0.63159644021830474</v>
      </c>
      <c r="BZ55" s="200">
        <f t="shared" si="45"/>
        <v>1.3730504233012921</v>
      </c>
      <c r="CA55" s="202">
        <f t="shared" si="60"/>
        <v>27.243262400543816</v>
      </c>
    </row>
    <row r="56" spans="1:79" s="66" customFormat="1" x14ac:dyDescent="0.35">
      <c r="A56" s="190"/>
      <c r="B56" s="191">
        <v>11</v>
      </c>
      <c r="C56" s="191">
        <f t="shared" si="0"/>
        <v>19</v>
      </c>
      <c r="D56" s="192">
        <f t="shared" si="1"/>
        <v>1.4632386925376271</v>
      </c>
      <c r="E56" s="193">
        <v>1</v>
      </c>
      <c r="F56" s="194">
        <f t="shared" si="2"/>
        <v>1.4632386925376271</v>
      </c>
      <c r="G56" s="194">
        <f t="shared" si="3"/>
        <v>21.015608353664071</v>
      </c>
      <c r="H56" s="195">
        <v>11</v>
      </c>
      <c r="I56" s="102">
        <f t="shared" si="4"/>
        <v>19</v>
      </c>
      <c r="J56" s="100">
        <f t="shared" si="5"/>
        <v>1.4632386925376271</v>
      </c>
      <c r="K56" s="100">
        <v>1</v>
      </c>
      <c r="L56" s="101">
        <f t="shared" si="6"/>
        <v>1.4632386925376271</v>
      </c>
      <c r="M56" s="101">
        <f t="shared" si="7"/>
        <v>63.3304136376073</v>
      </c>
      <c r="N56" s="100">
        <f t="shared" si="8"/>
        <v>1.2118372106832715</v>
      </c>
      <c r="O56" s="101">
        <f t="shared" si="46"/>
        <v>0.54788716132907256</v>
      </c>
      <c r="P56" s="101">
        <f t="shared" si="47"/>
        <v>0.54173112324557016</v>
      </c>
      <c r="Q56" s="101">
        <f>P56/$P$45</f>
        <v>0.63394400513854166</v>
      </c>
      <c r="R56" s="101">
        <f t="shared" si="48"/>
        <v>0.9276113972209864</v>
      </c>
      <c r="S56" s="101">
        <f t="shared" si="49"/>
        <v>4.121226169226949</v>
      </c>
      <c r="T56" s="100">
        <f t="shared" si="9"/>
        <v>1.6468021228788723</v>
      </c>
      <c r="U56" s="101">
        <f t="shared" si="10"/>
        <v>0.62218558336642082</v>
      </c>
      <c r="V56" s="101">
        <f t="shared" si="11"/>
        <v>0.60683082076931938</v>
      </c>
      <c r="W56" s="101">
        <f t="shared" si="12"/>
        <v>0.62076361791844858</v>
      </c>
      <c r="X56" s="101">
        <f t="shared" si="13"/>
        <v>0.90832534465791781</v>
      </c>
      <c r="Y56" s="101">
        <f t="shared" si="50"/>
        <v>8.8496491539414048</v>
      </c>
      <c r="Z56" s="196">
        <v>11</v>
      </c>
      <c r="AA56" s="113">
        <f t="shared" si="14"/>
        <v>19</v>
      </c>
      <c r="AB56" s="375">
        <f t="shared" si="15"/>
        <v>1.4632386925376271</v>
      </c>
      <c r="AC56" s="112">
        <v>1</v>
      </c>
      <c r="AD56" s="112">
        <f t="shared" si="16"/>
        <v>1.4632386925376271</v>
      </c>
      <c r="AE56" s="112">
        <f t="shared" si="17"/>
        <v>79.652254539874036</v>
      </c>
      <c r="AF56" s="111">
        <f t="shared" si="18"/>
        <v>1.2118372106832715</v>
      </c>
      <c r="AG56" s="112">
        <f t="shared" si="61"/>
        <v>0.54788716132907256</v>
      </c>
      <c r="AH56" s="112">
        <f t="shared" si="19"/>
        <v>0.54173112324557016</v>
      </c>
      <c r="AI56" s="112">
        <f t="shared" si="20"/>
        <v>0.63394400513854166</v>
      </c>
      <c r="AJ56" s="112">
        <f t="shared" si="21"/>
        <v>0.9276113972209864</v>
      </c>
      <c r="AK56" s="112">
        <f t="shared" si="22"/>
        <v>8.7710748008700747</v>
      </c>
      <c r="AL56" s="111">
        <f t="shared" si="23"/>
        <v>1.6468021228788723</v>
      </c>
      <c r="AM56" s="112">
        <f t="shared" si="62"/>
        <v>0.62218558336642082</v>
      </c>
      <c r="AN56" s="112">
        <f t="shared" si="24"/>
        <v>0.60683082076931938</v>
      </c>
      <c r="AO56" s="112">
        <f t="shared" si="51"/>
        <v>0.62076361791844858</v>
      </c>
      <c r="AP56" s="112">
        <f t="shared" si="25"/>
        <v>0.90832534465791781</v>
      </c>
      <c r="AQ56" s="112">
        <f t="shared" si="26"/>
        <v>18.833433147626899</v>
      </c>
      <c r="AR56" s="197">
        <v>11</v>
      </c>
      <c r="AS56" s="141">
        <f t="shared" si="27"/>
        <v>19</v>
      </c>
      <c r="AT56" s="378">
        <f t="shared" si="28"/>
        <v>2.1948580388064407</v>
      </c>
      <c r="AU56" s="187">
        <v>1</v>
      </c>
      <c r="AV56" s="187">
        <f>AU56*AT56</f>
        <v>2.1948580388064407</v>
      </c>
      <c r="AW56" s="187">
        <f t="shared" si="29"/>
        <v>58.328658895810442</v>
      </c>
      <c r="AX56" s="188">
        <f t="shared" si="30"/>
        <v>1.136657238204307</v>
      </c>
      <c r="AY56" s="187">
        <f>AX56/(1+AX56)</f>
        <v>0.5319792140173023</v>
      </c>
      <c r="AZ56" s="187">
        <f t="shared" si="31"/>
        <v>0.52785910920897194</v>
      </c>
      <c r="BA56" s="187">
        <f t="shared" si="53"/>
        <v>0.67898498111339989</v>
      </c>
      <c r="BB56" s="187">
        <f t="shared" si="32"/>
        <v>1.4902756440255851</v>
      </c>
      <c r="BC56" s="187">
        <f t="shared" si="33"/>
        <v>9.0862282605669744</v>
      </c>
      <c r="BD56" s="188">
        <f t="shared" si="34"/>
        <v>1.3945291689308996</v>
      </c>
      <c r="BE56" s="187">
        <f t="shared" si="64"/>
        <v>0.58238136625143877</v>
      </c>
      <c r="BF56" s="187">
        <f t="shared" si="35"/>
        <v>0.57187442401944877</v>
      </c>
      <c r="BG56" s="187">
        <f t="shared" si="54"/>
        <v>0.60894897853037211</v>
      </c>
      <c r="BH56" s="198">
        <f t="shared" si="36"/>
        <v>1.336556560750358</v>
      </c>
      <c r="BI56" s="198">
        <f t="shared" si="55"/>
        <v>18.938630971543088</v>
      </c>
      <c r="BJ56" s="199">
        <v>11</v>
      </c>
      <c r="BK56" s="124">
        <f t="shared" si="37"/>
        <v>19</v>
      </c>
      <c r="BL56" s="382">
        <f t="shared" si="38"/>
        <v>2.1948580388064407</v>
      </c>
      <c r="BM56" s="123">
        <v>1</v>
      </c>
      <c r="BN56" s="123">
        <f t="shared" si="56"/>
        <v>2.1948580388064407</v>
      </c>
      <c r="BO56" s="123">
        <f t="shared" si="57"/>
        <v>59.353165135527114</v>
      </c>
      <c r="BP56" s="122">
        <f t="shared" si="39"/>
        <v>1.136657238204307</v>
      </c>
      <c r="BQ56" s="123">
        <f t="shared" si="65"/>
        <v>0.5319792140173023</v>
      </c>
      <c r="BR56" s="123">
        <f t="shared" si="40"/>
        <v>0.52785910920897194</v>
      </c>
      <c r="BS56" s="123">
        <f t="shared" si="41"/>
        <v>0.67898498111339989</v>
      </c>
      <c r="BT56" s="123">
        <f t="shared" si="42"/>
        <v>1.4902756440255851</v>
      </c>
      <c r="BU56" s="123">
        <f t="shared" si="58"/>
        <v>12.6018819097087</v>
      </c>
      <c r="BV56" s="122">
        <f t="shared" si="43"/>
        <v>1.3945291681182035</v>
      </c>
      <c r="BW56" s="123">
        <f t="shared" si="66"/>
        <v>0.58238136610970037</v>
      </c>
      <c r="BX56" s="123">
        <f t="shared" si="59"/>
        <v>0.57187442386595899</v>
      </c>
      <c r="BY56" s="123">
        <f t="shared" si="44"/>
        <v>0.60894897836807049</v>
      </c>
      <c r="BZ56" s="200">
        <f t="shared" si="45"/>
        <v>1.336556560394129</v>
      </c>
      <c r="CA56" s="202">
        <f t="shared" si="60"/>
        <v>26.266387442732178</v>
      </c>
    </row>
    <row r="57" spans="1:79" s="66" customFormat="1" x14ac:dyDescent="0.35">
      <c r="A57" s="190"/>
      <c r="B57" s="191">
        <v>12</v>
      </c>
      <c r="C57" s="191">
        <f t="shared" si="0"/>
        <v>18</v>
      </c>
      <c r="D57" s="192">
        <f t="shared" si="1"/>
        <v>1.4759720647800119</v>
      </c>
      <c r="E57" s="193">
        <v>1</v>
      </c>
      <c r="F57" s="194">
        <f t="shared" si="2"/>
        <v>1.4759720647800119</v>
      </c>
      <c r="G57" s="194">
        <f t="shared" si="3"/>
        <v>21.015608353664071</v>
      </c>
      <c r="H57" s="195">
        <v>12</v>
      </c>
      <c r="I57" s="102">
        <f t="shared" si="4"/>
        <v>18</v>
      </c>
      <c r="J57" s="100">
        <f t="shared" si="5"/>
        <v>1.4759720647800119</v>
      </c>
      <c r="K57" s="100">
        <v>1</v>
      </c>
      <c r="L57" s="101">
        <f t="shared" si="6"/>
        <v>1.4759720647800119</v>
      </c>
      <c r="M57" s="101">
        <f t="shared" si="7"/>
        <v>63.3304136376073</v>
      </c>
      <c r="N57" s="100">
        <f t="shared" si="8"/>
        <v>1.1532005886225216</v>
      </c>
      <c r="O57" s="101">
        <f t="shared" si="46"/>
        <v>0.53557508516206787</v>
      </c>
      <c r="P57" s="101">
        <f t="shared" si="47"/>
        <v>0.52956730739224334</v>
      </c>
      <c r="Q57" s="101">
        <f t="shared" si="67"/>
        <v>0.61970967779617447</v>
      </c>
      <c r="R57" s="101">
        <f t="shared" si="48"/>
        <v>0.91467417270097551</v>
      </c>
      <c r="S57" s="101">
        <f t="shared" si="49"/>
        <v>4.0286897908256956</v>
      </c>
      <c r="T57" s="100">
        <f t="shared" si="9"/>
        <v>1.4478369505735391</v>
      </c>
      <c r="U57" s="101">
        <f t="shared" si="10"/>
        <v>0.59147605817221793</v>
      </c>
      <c r="V57" s="101">
        <f t="shared" si="11"/>
        <v>0.57619167334959509</v>
      </c>
      <c r="W57" s="101">
        <f t="shared" si="12"/>
        <v>0.58942099761763356</v>
      </c>
      <c r="X57" s="101">
        <f t="shared" si="13"/>
        <v>0.869968926878393</v>
      </c>
      <c r="Y57" s="101">
        <f t="shared" si="50"/>
        <v>8.4028265869915284</v>
      </c>
      <c r="Z57" s="196">
        <v>12</v>
      </c>
      <c r="AA57" s="113">
        <f t="shared" si="14"/>
        <v>18</v>
      </c>
      <c r="AB57" s="375">
        <f t="shared" si="15"/>
        <v>1.4759720647800119</v>
      </c>
      <c r="AC57" s="112">
        <v>1</v>
      </c>
      <c r="AD57" s="112">
        <f t="shared" si="16"/>
        <v>1.4759720647800119</v>
      </c>
      <c r="AE57" s="112">
        <f t="shared" si="17"/>
        <v>79.652254539874036</v>
      </c>
      <c r="AF57" s="111">
        <f t="shared" si="18"/>
        <v>1.1532005886225216</v>
      </c>
      <c r="AG57" s="112">
        <f t="shared" si="61"/>
        <v>0.53557508516206787</v>
      </c>
      <c r="AH57" s="112">
        <f t="shared" si="19"/>
        <v>0.52956730739224334</v>
      </c>
      <c r="AI57" s="112">
        <f t="shared" si="20"/>
        <v>0.61970967779617447</v>
      </c>
      <c r="AJ57" s="112">
        <f t="shared" si="21"/>
        <v>0.91467417270097551</v>
      </c>
      <c r="AK57" s="112">
        <f t="shared" si="22"/>
        <v>8.5741325648871225</v>
      </c>
      <c r="AL57" s="111">
        <f t="shared" si="23"/>
        <v>1.4478369505735391</v>
      </c>
      <c r="AM57" s="112">
        <f t="shared" si="62"/>
        <v>0.59147605817221793</v>
      </c>
      <c r="AN57" s="112">
        <f t="shared" si="24"/>
        <v>0.57619167334959509</v>
      </c>
      <c r="AO57" s="112">
        <f t="shared" si="51"/>
        <v>0.58942099761763356</v>
      </c>
      <c r="AP57" s="112">
        <f t="shared" si="25"/>
        <v>0.869968926878393</v>
      </c>
      <c r="AQ57" s="112">
        <f t="shared" si="26"/>
        <v>17.882525061089517</v>
      </c>
      <c r="AR57" s="197">
        <v>12</v>
      </c>
      <c r="AS57" s="141">
        <f t="shared" si="27"/>
        <v>18</v>
      </c>
      <c r="AT57" s="378">
        <f t="shared" si="28"/>
        <v>2.2139580971700181</v>
      </c>
      <c r="AU57" s="187">
        <v>1</v>
      </c>
      <c r="AV57" s="187">
        <f t="shared" si="52"/>
        <v>2.2139580971700181</v>
      </c>
      <c r="AW57" s="187">
        <f t="shared" si="29"/>
        <v>58.328658895810442</v>
      </c>
      <c r="AX57" s="188">
        <f t="shared" si="30"/>
        <v>1.0996890554548429</v>
      </c>
      <c r="AY57" s="187">
        <f t="shared" si="63"/>
        <v>0.52373900440064147</v>
      </c>
      <c r="AZ57" s="187">
        <f t="shared" si="31"/>
        <v>0.519725910338245</v>
      </c>
      <c r="BA57" s="187">
        <f t="shared" si="53"/>
        <v>0.66852325034984894</v>
      </c>
      <c r="BB57" s="187">
        <f t="shared" si="32"/>
        <v>1.4800824632584673</v>
      </c>
      <c r="BC57" s="187">
        <f t="shared" si="33"/>
        <v>8.9462285899375242</v>
      </c>
      <c r="BD57" s="188">
        <f t="shared" si="34"/>
        <v>1.2798127327063469</v>
      </c>
      <c r="BE57" s="187">
        <f t="shared" si="64"/>
        <v>0.56136748178745877</v>
      </c>
      <c r="BF57" s="187">
        <f t="shared" si="35"/>
        <v>0.5510423088525781</v>
      </c>
      <c r="BG57" s="187">
        <f t="shared" si="54"/>
        <v>0.58676631968311876</v>
      </c>
      <c r="BH57" s="198">
        <f t="shared" si="36"/>
        <v>1.2990760446090921</v>
      </c>
      <c r="BI57" s="198">
        <f t="shared" si="55"/>
        <v>18.248738706858365</v>
      </c>
      <c r="BJ57" s="199">
        <v>12</v>
      </c>
      <c r="BK57" s="124">
        <f t="shared" si="37"/>
        <v>18</v>
      </c>
      <c r="BL57" s="382">
        <f t="shared" si="38"/>
        <v>2.2139580971700181</v>
      </c>
      <c r="BM57" s="123">
        <v>1</v>
      </c>
      <c r="BN57" s="123">
        <f t="shared" si="56"/>
        <v>2.2139580971700181</v>
      </c>
      <c r="BO57" s="123">
        <f t="shared" si="57"/>
        <v>59.353165135527114</v>
      </c>
      <c r="BP57" s="122">
        <f t="shared" si="39"/>
        <v>1.0996890554548429</v>
      </c>
      <c r="BQ57" s="123">
        <f t="shared" si="65"/>
        <v>0.52373900440064147</v>
      </c>
      <c r="BR57" s="123">
        <f t="shared" si="40"/>
        <v>0.519725910338245</v>
      </c>
      <c r="BS57" s="123">
        <f t="shared" si="41"/>
        <v>0.66852325034984894</v>
      </c>
      <c r="BT57" s="123">
        <f t="shared" si="42"/>
        <v>1.4800824632584673</v>
      </c>
      <c r="BU57" s="123">
        <f t="shared" si="58"/>
        <v>12.407713409195996</v>
      </c>
      <c r="BV57" s="122">
        <f t="shared" si="43"/>
        <v>1.2798127318474979</v>
      </c>
      <c r="BW57" s="123">
        <f t="shared" si="66"/>
        <v>0.56136748162221761</v>
      </c>
      <c r="BX57" s="123">
        <f t="shared" si="59"/>
        <v>0.55104230867437531</v>
      </c>
      <c r="BY57" s="123">
        <f t="shared" si="44"/>
        <v>0.58676631949446045</v>
      </c>
      <c r="BZ57" s="200">
        <f t="shared" si="45"/>
        <v>1.2990760441914107</v>
      </c>
      <c r="CA57" s="202">
        <f t="shared" si="60"/>
        <v>25.309561282935221</v>
      </c>
    </row>
    <row r="58" spans="1:79" s="66" customFormat="1" x14ac:dyDescent="0.35">
      <c r="A58" s="190"/>
      <c r="B58" s="191">
        <v>13</v>
      </c>
      <c r="C58" s="191">
        <f t="shared" si="0"/>
        <v>17</v>
      </c>
      <c r="D58" s="192">
        <f t="shared" si="1"/>
        <v>1.4876856317566269</v>
      </c>
      <c r="E58" s="193">
        <v>1</v>
      </c>
      <c r="F58" s="194">
        <f t="shared" si="2"/>
        <v>1.4876856317566269</v>
      </c>
      <c r="G58" s="194">
        <f t="shared" si="3"/>
        <v>21.015608353664071</v>
      </c>
      <c r="H58" s="195">
        <v>13</v>
      </c>
      <c r="I58" s="102">
        <f t="shared" si="4"/>
        <v>17</v>
      </c>
      <c r="J58" s="100">
        <f t="shared" si="5"/>
        <v>1.4876856317566269</v>
      </c>
      <c r="K58" s="100">
        <v>1</v>
      </c>
      <c r="L58" s="101">
        <f t="shared" si="6"/>
        <v>1.4876856317566269</v>
      </c>
      <c r="M58" s="101">
        <f t="shared" si="7"/>
        <v>63.3304136376073</v>
      </c>
      <c r="N58" s="100">
        <f t="shared" si="8"/>
        <v>1.0988981041167551</v>
      </c>
      <c r="O58" s="101">
        <f t="shared" si="46"/>
        <v>0.52355952962241881</v>
      </c>
      <c r="P58" s="101">
        <f t="shared" si="47"/>
        <v>0.51764650207185814</v>
      </c>
      <c r="Q58" s="101">
        <f t="shared" si="67"/>
        <v>0.60575972597504546</v>
      </c>
      <c r="R58" s="101">
        <f t="shared" si="48"/>
        <v>0.90118004062990675</v>
      </c>
      <c r="S58" s="101">
        <f t="shared" si="49"/>
        <v>3.9380021180364748</v>
      </c>
      <c r="T58" s="100">
        <f t="shared" si="9"/>
        <v>1.2774233638387948</v>
      </c>
      <c r="U58" s="101">
        <f t="shared" si="10"/>
        <v>0.56090728852697236</v>
      </c>
      <c r="V58" s="101">
        <f t="shared" si="11"/>
        <v>0.5456688700788852</v>
      </c>
      <c r="W58" s="101">
        <f t="shared" si="12"/>
        <v>0.55819739272011371</v>
      </c>
      <c r="X58" s="101">
        <f t="shared" si="13"/>
        <v>0.8304222408337244</v>
      </c>
      <c r="Y58" s="101">
        <f t="shared" si="50"/>
        <v>7.9577007118784051</v>
      </c>
      <c r="Z58" s="196">
        <v>13</v>
      </c>
      <c r="AA58" s="113">
        <f t="shared" si="14"/>
        <v>17</v>
      </c>
      <c r="AB58" s="375">
        <f t="shared" si="15"/>
        <v>1.4876856317566269</v>
      </c>
      <c r="AC58" s="112">
        <v>1</v>
      </c>
      <c r="AD58" s="112">
        <f t="shared" si="16"/>
        <v>1.4876856317566269</v>
      </c>
      <c r="AE58" s="112">
        <f t="shared" si="17"/>
        <v>79.652254539874036</v>
      </c>
      <c r="AF58" s="111">
        <f t="shared" si="18"/>
        <v>1.0988981041167551</v>
      </c>
      <c r="AG58" s="112">
        <f t="shared" si="61"/>
        <v>0.52355952962241881</v>
      </c>
      <c r="AH58" s="112">
        <f t="shared" si="19"/>
        <v>0.51764650207185814</v>
      </c>
      <c r="AI58" s="112">
        <f t="shared" si="20"/>
        <v>0.60575972597504546</v>
      </c>
      <c r="AJ58" s="112">
        <f t="shared" si="21"/>
        <v>0.90118004062990675</v>
      </c>
      <c r="AK58" s="112">
        <f t="shared" si="22"/>
        <v>8.3811248703590913</v>
      </c>
      <c r="AL58" s="111">
        <f t="shared" si="23"/>
        <v>1.2774233638387948</v>
      </c>
      <c r="AM58" s="112">
        <f t="shared" si="62"/>
        <v>0.56090728852697236</v>
      </c>
      <c r="AN58" s="112">
        <f t="shared" si="24"/>
        <v>0.5456688700788852</v>
      </c>
      <c r="AO58" s="112">
        <f>AN58/$AN$45</f>
        <v>0.55819739272011371</v>
      </c>
      <c r="AP58" s="112">
        <f t="shared" si="25"/>
        <v>0.8304222408337244</v>
      </c>
      <c r="AQ58" s="112">
        <f t="shared" si="26"/>
        <v>16.935227799311832</v>
      </c>
      <c r="AR58" s="197">
        <v>13</v>
      </c>
      <c r="AS58" s="141">
        <f t="shared" si="27"/>
        <v>17</v>
      </c>
      <c r="AT58" s="378">
        <f t="shared" si="28"/>
        <v>2.2315284476349406</v>
      </c>
      <c r="AU58" s="187">
        <v>1</v>
      </c>
      <c r="AV58" s="187">
        <f t="shared" si="52"/>
        <v>2.2315284476349406</v>
      </c>
      <c r="AW58" s="187">
        <f t="shared" si="29"/>
        <v>58.328658895810442</v>
      </c>
      <c r="AX58" s="188">
        <f t="shared" si="30"/>
        <v>1.0648904897916875</v>
      </c>
      <c r="AY58" s="187">
        <f t="shared" si="63"/>
        <v>0.51571281627584864</v>
      </c>
      <c r="AZ58" s="187">
        <f t="shared" si="31"/>
        <v>0.5117679649699064</v>
      </c>
      <c r="BA58" s="187">
        <f t="shared" si="53"/>
        <v>0.65828694810298605</v>
      </c>
      <c r="BB58" s="187">
        <f t="shared" si="32"/>
        <v>1.4689860513985993</v>
      </c>
      <c r="BC58" s="187">
        <f t="shared" si="33"/>
        <v>8.8092456207315877</v>
      </c>
      <c r="BD58" s="188">
        <f t="shared" si="34"/>
        <v>1.1773074464646298</v>
      </c>
      <c r="BE58" s="187">
        <f t="shared" si="64"/>
        <v>0.54071713591769743</v>
      </c>
      <c r="BF58" s="187">
        <f t="shared" si="35"/>
        <v>0.53050901642264059</v>
      </c>
      <c r="BG58" s="187">
        <f t="shared" si="54"/>
        <v>0.5649018562171837</v>
      </c>
      <c r="BH58" s="198">
        <f t="shared" si="36"/>
        <v>1.2605945622704284</v>
      </c>
      <c r="BI58" s="198">
        <f t="shared" si="55"/>
        <v>17.568742484561596</v>
      </c>
      <c r="BJ58" s="199">
        <v>13</v>
      </c>
      <c r="BK58" s="124">
        <f t="shared" si="37"/>
        <v>17</v>
      </c>
      <c r="BL58" s="382">
        <f t="shared" si="38"/>
        <v>2.2315284476349406</v>
      </c>
      <c r="BM58" s="123">
        <v>1</v>
      </c>
      <c r="BN58" s="123">
        <f t="shared" si="56"/>
        <v>2.2315284476349406</v>
      </c>
      <c r="BO58" s="123">
        <f t="shared" si="57"/>
        <v>59.353165135527114</v>
      </c>
      <c r="BP58" s="122">
        <f t="shared" si="39"/>
        <v>1.0648904897916875</v>
      </c>
      <c r="BQ58" s="123">
        <f t="shared" si="65"/>
        <v>0.51571281627584864</v>
      </c>
      <c r="BR58" s="123">
        <f t="shared" si="40"/>
        <v>0.5117679649699064</v>
      </c>
      <c r="BS58" s="123">
        <f t="shared" si="41"/>
        <v>0.65828694810298605</v>
      </c>
      <c r="BT58" s="123">
        <f t="shared" si="42"/>
        <v>1.4689860513985993</v>
      </c>
      <c r="BU58" s="123">
        <f t="shared" si="58"/>
        <v>12.217728835611579</v>
      </c>
      <c r="BV58" s="122">
        <f t="shared" si="43"/>
        <v>1.1773074455583836</v>
      </c>
      <c r="BW58" s="123">
        <f t="shared" si="66"/>
        <v>0.54071713572653302</v>
      </c>
      <c r="BX58" s="123">
        <f t="shared" si="59"/>
        <v>0.53050901621714175</v>
      </c>
      <c r="BY58" s="123">
        <f t="shared" si="44"/>
        <v>0.56490185599941889</v>
      </c>
      <c r="BZ58" s="200">
        <f t="shared" si="45"/>
        <v>1.26059456178448</v>
      </c>
      <c r="CA58" s="202">
        <f t="shared" si="60"/>
        <v>24.366460153301485</v>
      </c>
    </row>
    <row r="59" spans="1:79" s="66" customFormat="1" x14ac:dyDescent="0.35">
      <c r="A59" s="190"/>
      <c r="B59" s="191">
        <v>14</v>
      </c>
      <c r="C59" s="191">
        <f t="shared" si="0"/>
        <v>16</v>
      </c>
      <c r="D59" s="192">
        <f t="shared" si="1"/>
        <v>1.4985307008522937</v>
      </c>
      <c r="E59" s="193">
        <v>1</v>
      </c>
      <c r="F59" s="194">
        <f t="shared" si="2"/>
        <v>1.4985307008522937</v>
      </c>
      <c r="G59" s="194">
        <f t="shared" si="3"/>
        <v>21.015608353664071</v>
      </c>
      <c r="H59" s="195">
        <v>14</v>
      </c>
      <c r="I59" s="102">
        <f t="shared" si="4"/>
        <v>16</v>
      </c>
      <c r="J59" s="100">
        <f t="shared" si="5"/>
        <v>1.4985307008522937</v>
      </c>
      <c r="K59" s="100">
        <v>1</v>
      </c>
      <c r="L59" s="101">
        <f t="shared" si="6"/>
        <v>1.4985307008522937</v>
      </c>
      <c r="M59" s="101">
        <f t="shared" si="7"/>
        <v>63.3304136376073</v>
      </c>
      <c r="N59" s="100">
        <f t="shared" si="8"/>
        <v>1.0480617609810294</v>
      </c>
      <c r="O59" s="101">
        <f t="shared" si="46"/>
        <v>0.51173347452129758</v>
      </c>
      <c r="P59" s="101">
        <f t="shared" si="47"/>
        <v>0.5058666563213926</v>
      </c>
      <c r="Q59" s="101">
        <f t="shared" si="67"/>
        <v>0.59197472770833304</v>
      </c>
      <c r="R59" s="101">
        <f>Q59*J59</f>
        <v>0.887092303599614</v>
      </c>
      <c r="S59" s="101">
        <f t="shared" si="49"/>
        <v>3.8483867969055368</v>
      </c>
      <c r="T59" s="100">
        <f t="shared" si="9"/>
        <v>1.1296099874298997</v>
      </c>
      <c r="U59" s="101">
        <f t="shared" si="10"/>
        <v>0.53043045163079794</v>
      </c>
      <c r="V59" s="101">
        <f t="shared" si="11"/>
        <v>0.51521473846617882</v>
      </c>
      <c r="W59" s="101">
        <f t="shared" si="12"/>
        <v>0.52704403617750872</v>
      </c>
      <c r="X59" s="101">
        <f t="shared" si="13"/>
        <v>0.78979166891310382</v>
      </c>
      <c r="Y59" s="101">
        <f t="shared" si="50"/>
        <v>7.5135763021809314</v>
      </c>
      <c r="Z59" s="196">
        <v>14</v>
      </c>
      <c r="AA59" s="113">
        <f t="shared" si="14"/>
        <v>16</v>
      </c>
      <c r="AB59" s="375">
        <f t="shared" si="15"/>
        <v>1.4985307008522937</v>
      </c>
      <c r="AC59" s="112">
        <v>1</v>
      </c>
      <c r="AD59" s="112">
        <f t="shared" si="16"/>
        <v>1.4985307008522937</v>
      </c>
      <c r="AE59" s="112">
        <f t="shared" si="17"/>
        <v>79.652254539874036</v>
      </c>
      <c r="AF59" s="111">
        <f t="shared" si="18"/>
        <v>1.0480617609810294</v>
      </c>
      <c r="AG59" s="112">
        <f t="shared" si="61"/>
        <v>0.51173347452129758</v>
      </c>
      <c r="AH59" s="112">
        <f t="shared" si="19"/>
        <v>0.5058666563213926</v>
      </c>
      <c r="AI59" s="112">
        <f t="shared" si="20"/>
        <v>0.59197472770833304</v>
      </c>
      <c r="AJ59" s="112">
        <f t="shared" si="21"/>
        <v>0.887092303599614</v>
      </c>
      <c r="AK59" s="112">
        <f t="shared" si="22"/>
        <v>8.1903994278166135</v>
      </c>
      <c r="AL59" s="111">
        <f t="shared" si="23"/>
        <v>1.1296099874298997</v>
      </c>
      <c r="AM59" s="112">
        <f t="shared" si="62"/>
        <v>0.53043045163079794</v>
      </c>
      <c r="AN59" s="112">
        <f t="shared" si="24"/>
        <v>0.51521473846617882</v>
      </c>
      <c r="AO59" s="112">
        <f t="shared" si="51"/>
        <v>0.52704403617750872</v>
      </c>
      <c r="AP59" s="112">
        <f t="shared" si="25"/>
        <v>0.78979166891310382</v>
      </c>
      <c r="AQ59" s="112">
        <f>AO59*$AM$42</f>
        <v>15.990061812077034</v>
      </c>
      <c r="AR59" s="197">
        <v>14</v>
      </c>
      <c r="AS59" s="141">
        <f t="shared" si="27"/>
        <v>16</v>
      </c>
      <c r="AT59" s="378">
        <f t="shared" si="28"/>
        <v>2.2477960512784407</v>
      </c>
      <c r="AU59" s="187">
        <v>1</v>
      </c>
      <c r="AV59" s="187">
        <f t="shared" si="52"/>
        <v>2.2477960512784407</v>
      </c>
      <c r="AW59" s="187">
        <f t="shared" si="29"/>
        <v>58.328658895810442</v>
      </c>
      <c r="AX59" s="188">
        <f t="shared" si="30"/>
        <v>1.031789845810122</v>
      </c>
      <c r="AY59" s="187">
        <f t="shared" si="63"/>
        <v>0.50782311366396415</v>
      </c>
      <c r="AZ59" s="187">
        <f t="shared" si="31"/>
        <v>0.50391150253114625</v>
      </c>
      <c r="BA59" s="187">
        <f t="shared" si="53"/>
        <v>0.64818118331170749</v>
      </c>
      <c r="BB59" s="187">
        <f t="shared" si="32"/>
        <v>1.4569791043610432</v>
      </c>
      <c r="BC59" s="187">
        <f t="shared" si="33"/>
        <v>8.6740095136080004</v>
      </c>
      <c r="BD59" s="188">
        <f t="shared" si="34"/>
        <v>1.0846401287705518</v>
      </c>
      <c r="BE59" s="187">
        <f t="shared" si="64"/>
        <v>0.52030089692758374</v>
      </c>
      <c r="BF59" s="187">
        <f t="shared" si="35"/>
        <v>0.51015011888360529</v>
      </c>
      <c r="BG59" s="187">
        <f t="shared" si="54"/>
        <v>0.54322309364328969</v>
      </c>
      <c r="BH59" s="198">
        <f t="shared" si="36"/>
        <v>1.2210547248546453</v>
      </c>
      <c r="BI59" s="198">
        <f t="shared" si="55"/>
        <v>16.894521656902878</v>
      </c>
      <c r="BJ59" s="199">
        <v>14</v>
      </c>
      <c r="BK59" s="124">
        <f t="shared" si="37"/>
        <v>16</v>
      </c>
      <c r="BL59" s="382">
        <f t="shared" si="38"/>
        <v>2.2477960512784407</v>
      </c>
      <c r="BM59" s="123">
        <v>1</v>
      </c>
      <c r="BN59" s="123">
        <f t="shared" si="56"/>
        <v>2.2477960512784407</v>
      </c>
      <c r="BO59" s="123">
        <f t="shared" si="57"/>
        <v>59.353165135527114</v>
      </c>
      <c r="BP59" s="122">
        <f t="shared" si="39"/>
        <v>1.031789845810122</v>
      </c>
      <c r="BQ59" s="123">
        <f t="shared" si="65"/>
        <v>0.50782311366396415</v>
      </c>
      <c r="BR59" s="123">
        <f t="shared" si="40"/>
        <v>0.50391150253114625</v>
      </c>
      <c r="BS59" s="123">
        <f t="shared" si="41"/>
        <v>0.64818118331170749</v>
      </c>
      <c r="BT59" s="123">
        <f t="shared" si="42"/>
        <v>1.4569791043610432</v>
      </c>
      <c r="BU59" s="123">
        <f t="shared" si="58"/>
        <v>12.030167021949437</v>
      </c>
      <c r="BV59" s="122">
        <f t="shared" si="43"/>
        <v>1.0846401278152165</v>
      </c>
      <c r="BW59" s="123">
        <f t="shared" si="66"/>
        <v>0.52030089670775037</v>
      </c>
      <c r="BX59" s="123">
        <f t="shared" si="59"/>
        <v>0.51015011864786208</v>
      </c>
      <c r="BY59" s="123">
        <f t="shared" si="44"/>
        <v>0.54322309339327912</v>
      </c>
      <c r="BZ59" s="200">
        <f t="shared" si="45"/>
        <v>1.2210547242926724</v>
      </c>
      <c r="CA59" s="202">
        <f t="shared" si="60"/>
        <v>23.431369040384464</v>
      </c>
    </row>
    <row r="60" spans="1:79" s="66" customFormat="1" x14ac:dyDescent="0.35">
      <c r="A60" s="190"/>
      <c r="B60" s="191">
        <v>15</v>
      </c>
      <c r="C60" s="191">
        <f t="shared" si="0"/>
        <v>15</v>
      </c>
      <c r="D60" s="192">
        <f t="shared" si="1"/>
        <v>1.508627218630872</v>
      </c>
      <c r="E60" s="193">
        <v>1</v>
      </c>
      <c r="F60" s="194">
        <f t="shared" si="2"/>
        <v>1.508627218630872</v>
      </c>
      <c r="G60" s="194">
        <f t="shared" si="3"/>
        <v>21.015608353664071</v>
      </c>
      <c r="H60" s="195">
        <v>15</v>
      </c>
      <c r="I60" s="102">
        <f t="shared" si="4"/>
        <v>15</v>
      </c>
      <c r="J60" s="100">
        <f t="shared" si="5"/>
        <v>1.508627218630872</v>
      </c>
      <c r="K60" s="100">
        <v>1</v>
      </c>
      <c r="L60" s="101">
        <f t="shared" si="6"/>
        <v>1.508627218630872</v>
      </c>
      <c r="M60" s="101">
        <f t="shared" si="7"/>
        <v>63.3304136376073</v>
      </c>
      <c r="N60" s="100">
        <f t="shared" si="8"/>
        <v>0.99999935248616012</v>
      </c>
      <c r="O60" s="101">
        <f t="shared" si="46"/>
        <v>0.49999983812148763</v>
      </c>
      <c r="P60" s="101">
        <f t="shared" si="47"/>
        <v>0.49413301856617931</v>
      </c>
      <c r="Q60" s="101">
        <f t="shared" si="67"/>
        <v>0.57824380291150757</v>
      </c>
      <c r="R60" s="101">
        <f t="shared" si="48"/>
        <v>0.8723543400769258</v>
      </c>
      <c r="S60" s="101">
        <f t="shared" si="49"/>
        <v>3.7591230036656316</v>
      </c>
      <c r="T60" s="100">
        <f t="shared" si="9"/>
        <v>0.99999610121383897</v>
      </c>
      <c r="U60" s="101">
        <f t="shared" si="10"/>
        <v>0.49999902530155965</v>
      </c>
      <c r="V60" s="101">
        <f t="shared" si="11"/>
        <v>0.48478330707702094</v>
      </c>
      <c r="W60" s="101">
        <f t="shared" si="12"/>
        <v>0.4959139010541449</v>
      </c>
      <c r="X60" s="101">
        <f t="shared" si="13"/>
        <v>0.74814920922770012</v>
      </c>
      <c r="Y60" s="101">
        <f t="shared" si="50"/>
        <v>7.0697829386453286</v>
      </c>
      <c r="Z60" s="196">
        <v>15</v>
      </c>
      <c r="AA60" s="113">
        <f t="shared" si="14"/>
        <v>15</v>
      </c>
      <c r="AB60" s="375">
        <f t="shared" si="15"/>
        <v>1.508627218630872</v>
      </c>
      <c r="AC60" s="112">
        <v>1</v>
      </c>
      <c r="AD60" s="112">
        <f t="shared" si="16"/>
        <v>1.508627218630872</v>
      </c>
      <c r="AE60" s="112">
        <f t="shared" si="17"/>
        <v>79.652254539874036</v>
      </c>
      <c r="AF60" s="111">
        <f t="shared" si="18"/>
        <v>0.99999935248616012</v>
      </c>
      <c r="AG60" s="112">
        <f t="shared" si="61"/>
        <v>0.49999983812148763</v>
      </c>
      <c r="AH60" s="112">
        <f t="shared" si="19"/>
        <v>0.49413301856617931</v>
      </c>
      <c r="AI60" s="112">
        <f t="shared" si="20"/>
        <v>0.57824380291150757</v>
      </c>
      <c r="AJ60" s="112">
        <f t="shared" si="21"/>
        <v>0.8723543400769258</v>
      </c>
      <c r="AK60" s="112">
        <f t="shared" si="22"/>
        <v>8.0004221309230843</v>
      </c>
      <c r="AL60" s="111">
        <f t="shared" si="23"/>
        <v>0.99999610121383897</v>
      </c>
      <c r="AM60" s="112">
        <f t="shared" si="62"/>
        <v>0.49999902530155965</v>
      </c>
      <c r="AN60" s="112">
        <f t="shared" si="24"/>
        <v>0.48478330707702094</v>
      </c>
      <c r="AO60" s="112">
        <f t="shared" si="51"/>
        <v>0.4959139010541449</v>
      </c>
      <c r="AP60" s="112">
        <f t="shared" si="25"/>
        <v>0.74814920922770012</v>
      </c>
      <c r="AQ60" s="112">
        <f t="shared" si="26"/>
        <v>15.045600342688074</v>
      </c>
      <c r="AR60" s="197">
        <v>15</v>
      </c>
      <c r="AS60" s="141">
        <f t="shared" si="27"/>
        <v>15</v>
      </c>
      <c r="AT60" s="378">
        <f t="shared" si="28"/>
        <v>2.2629408279463084</v>
      </c>
      <c r="AU60" s="187">
        <v>1</v>
      </c>
      <c r="AV60" s="187">
        <f t="shared" si="52"/>
        <v>2.2629408279463084</v>
      </c>
      <c r="AW60" s="187">
        <f t="shared" si="29"/>
        <v>58.328658895810442</v>
      </c>
      <c r="AX60" s="188">
        <f t="shared" si="30"/>
        <v>0.9999995655934083</v>
      </c>
      <c r="AY60" s="187">
        <f t="shared" si="63"/>
        <v>0.49999989139832846</v>
      </c>
      <c r="AZ60" s="187">
        <f t="shared" si="31"/>
        <v>0.49608827932267441</v>
      </c>
      <c r="BA60" s="187">
        <f t="shared" si="53"/>
        <v>0.63811817413031757</v>
      </c>
      <c r="BB60" s="187">
        <f t="shared" si="32"/>
        <v>1.4440236692940474</v>
      </c>
      <c r="BC60" s="187">
        <f t="shared" si="33"/>
        <v>8.5393455652827299</v>
      </c>
      <c r="BD60" s="188">
        <f t="shared" si="34"/>
        <v>0.99999736336198297</v>
      </c>
      <c r="BE60" s="187">
        <f t="shared" si="64"/>
        <v>0.49999934083962677</v>
      </c>
      <c r="BF60" s="187">
        <f t="shared" si="35"/>
        <v>0.48984855800665272</v>
      </c>
      <c r="BG60" s="187">
        <f t="shared" si="54"/>
        <v>0.52160538486082453</v>
      </c>
      <c r="BH60" s="198">
        <f t="shared" si="36"/>
        <v>1.180362121478207</v>
      </c>
      <c r="BI60" s="198">
        <f t="shared" si="55"/>
        <v>16.22219963401443</v>
      </c>
      <c r="BJ60" s="199">
        <v>15</v>
      </c>
      <c r="BK60" s="124">
        <f t="shared" si="37"/>
        <v>15</v>
      </c>
      <c r="BL60" s="382">
        <f t="shared" si="38"/>
        <v>2.2629408279463084</v>
      </c>
      <c r="BM60" s="123">
        <v>1</v>
      </c>
      <c r="BN60" s="123">
        <f t="shared" si="56"/>
        <v>2.2629408279463084</v>
      </c>
      <c r="BO60" s="123">
        <f t="shared" si="57"/>
        <v>59.353165135527114</v>
      </c>
      <c r="BP60" s="122">
        <f t="shared" si="39"/>
        <v>0.9999995655934083</v>
      </c>
      <c r="BQ60" s="123">
        <f t="shared" si="65"/>
        <v>0.49999989139832846</v>
      </c>
      <c r="BR60" s="123">
        <f t="shared" si="40"/>
        <v>0.49608827932267441</v>
      </c>
      <c r="BS60" s="123">
        <f t="shared" si="41"/>
        <v>0.63811817413031757</v>
      </c>
      <c r="BT60" s="123">
        <f t="shared" si="42"/>
        <v>1.4440236692940474</v>
      </c>
      <c r="BU60" s="123">
        <f t="shared" si="58"/>
        <v>11.843398747410813</v>
      </c>
      <c r="BV60" s="122">
        <f t="shared" si="43"/>
        <v>0.99999736235537329</v>
      </c>
      <c r="BW60" s="123">
        <f t="shared" si="66"/>
        <v>0.49999934058797368</v>
      </c>
      <c r="BX60" s="123">
        <f t="shared" si="59"/>
        <v>0.48984855773726144</v>
      </c>
      <c r="BY60" s="123">
        <f t="shared" si="44"/>
        <v>0.5216053845749441</v>
      </c>
      <c r="BZ60" s="200">
        <f t="shared" si="45"/>
        <v>1.1803621208312767</v>
      </c>
      <c r="CA60" s="202">
        <f t="shared" si="60"/>
        <v>22.498911419766952</v>
      </c>
    </row>
    <row r="61" spans="1:79" s="66" customFormat="1" x14ac:dyDescent="0.35">
      <c r="A61" s="190"/>
      <c r="B61" s="191">
        <v>16</v>
      </c>
      <c r="C61" s="191">
        <f t="shared" si="0"/>
        <v>14</v>
      </c>
      <c r="D61" s="192">
        <f t="shared" si="1"/>
        <v>1.5180718802607605</v>
      </c>
      <c r="E61" s="193">
        <v>1</v>
      </c>
      <c r="F61" s="194">
        <f t="shared" si="2"/>
        <v>1.5180718802607605</v>
      </c>
      <c r="G61" s="194">
        <f t="shared" si="3"/>
        <v>21.015608353664071</v>
      </c>
      <c r="H61" s="195">
        <v>16</v>
      </c>
      <c r="I61" s="102">
        <f t="shared" si="4"/>
        <v>14</v>
      </c>
      <c r="J61" s="100">
        <f t="shared" si="5"/>
        <v>1.5180718802607605</v>
      </c>
      <c r="K61" s="100">
        <v>1</v>
      </c>
      <c r="L61" s="101">
        <f t="shared" si="6"/>
        <v>1.5180718802607605</v>
      </c>
      <c r="M61" s="101">
        <f t="shared" si="7"/>
        <v>63.3304136376073</v>
      </c>
      <c r="N61" s="100">
        <f t="shared" si="8"/>
        <v>0.9541409968759198</v>
      </c>
      <c r="O61" s="101">
        <f t="shared" si="46"/>
        <v>0.48826619901087104</v>
      </c>
      <c r="P61" s="101">
        <f t="shared" si="47"/>
        <v>0.4823531673282605</v>
      </c>
      <c r="Q61" s="101">
        <f>P61/$P$45</f>
        <v>0.56445879822327361</v>
      </c>
      <c r="R61" s="101">
        <f t="shared" si="48"/>
        <v>0.85688902914853415</v>
      </c>
      <c r="S61" s="101">
        <f t="shared" si="49"/>
        <v>3.6695076407888259</v>
      </c>
      <c r="T61" s="100">
        <f t="shared" si="9"/>
        <v>0.88525433021077493</v>
      </c>
      <c r="U61" s="101">
        <f t="shared" si="10"/>
        <v>0.46956758885248223</v>
      </c>
      <c r="V61" s="101">
        <f t="shared" si="11"/>
        <v>0.45432915516828137</v>
      </c>
      <c r="W61" s="101">
        <f t="shared" si="12"/>
        <v>0.4647605237495111</v>
      </c>
      <c r="X61" s="101">
        <f t="shared" si="13"/>
        <v>0.70553988215939611</v>
      </c>
      <c r="Y61" s="101">
        <f t="shared" si="50"/>
        <v>6.625658232962933</v>
      </c>
      <c r="Z61" s="196">
        <v>16</v>
      </c>
      <c r="AA61" s="113">
        <f t="shared" si="14"/>
        <v>14</v>
      </c>
      <c r="AB61" s="375">
        <f t="shared" si="15"/>
        <v>1.5180718802607605</v>
      </c>
      <c r="AC61" s="112">
        <v>1</v>
      </c>
      <c r="AD61" s="112">
        <f t="shared" si="16"/>
        <v>1.5180718802607605</v>
      </c>
      <c r="AE61" s="112">
        <f t="shared" si="17"/>
        <v>79.652254539874036</v>
      </c>
      <c r="AF61" s="111">
        <f t="shared" si="18"/>
        <v>0.9541409968759198</v>
      </c>
      <c r="AG61" s="112">
        <f t="shared" si="61"/>
        <v>0.48826619901087104</v>
      </c>
      <c r="AH61" s="112">
        <f t="shared" si="19"/>
        <v>0.4823531673282605</v>
      </c>
      <c r="AI61" s="112">
        <f t="shared" si="20"/>
        <v>0.56445879822327361</v>
      </c>
      <c r="AJ61" s="112">
        <f t="shared" si="21"/>
        <v>0.85688902914853415</v>
      </c>
      <c r="AK61" s="112">
        <f t="shared" si="22"/>
        <v>7.8096965995342016</v>
      </c>
      <c r="AL61" s="111">
        <f t="shared" si="23"/>
        <v>0.88525433021077493</v>
      </c>
      <c r="AM61" s="112">
        <f t="shared" si="62"/>
        <v>0.46956758885248223</v>
      </c>
      <c r="AN61" s="112">
        <f t="shared" si="24"/>
        <v>0.45432915516828137</v>
      </c>
      <c r="AO61" s="112">
        <f t="shared" si="51"/>
        <v>0.4647605237495111</v>
      </c>
      <c r="AP61" s="112">
        <f t="shared" si="25"/>
        <v>0.70553988215939611</v>
      </c>
      <c r="AQ61" s="112">
        <f t="shared" si="26"/>
        <v>14.100433725551214</v>
      </c>
      <c r="AR61" s="197">
        <v>16</v>
      </c>
      <c r="AS61" s="141">
        <f t="shared" si="27"/>
        <v>14</v>
      </c>
      <c r="AT61" s="378">
        <f t="shared" si="28"/>
        <v>2.2771078203911408</v>
      </c>
      <c r="AU61" s="187">
        <v>1</v>
      </c>
      <c r="AV61" s="187">
        <f t="shared" si="52"/>
        <v>2.2771078203911408</v>
      </c>
      <c r="AW61" s="187">
        <f t="shared" si="29"/>
        <v>58.328658895810442</v>
      </c>
      <c r="AX61" s="188">
        <f t="shared" si="30"/>
        <v>0.96918876212099847</v>
      </c>
      <c r="AY61" s="187">
        <f t="shared" si="63"/>
        <v>0.49217666724702031</v>
      </c>
      <c r="AZ61" s="187">
        <f t="shared" si="31"/>
        <v>0.48823181306375674</v>
      </c>
      <c r="BA61" s="187">
        <f t="shared" si="53"/>
        <v>0.62801240442517181</v>
      </c>
      <c r="BB61" s="187">
        <f t="shared" si="32"/>
        <v>1.4300519574192025</v>
      </c>
      <c r="BC61" s="187">
        <f t="shared" si="33"/>
        <v>8.4041093924014021</v>
      </c>
      <c r="BD61" s="188">
        <f t="shared" si="34"/>
        <v>0.92195987694229742</v>
      </c>
      <c r="BE61" s="187">
        <f t="shared" si="64"/>
        <v>0.47969777517367873</v>
      </c>
      <c r="BF61" s="187">
        <f t="shared" si="35"/>
        <v>0.46948964113608566</v>
      </c>
      <c r="BG61" s="187">
        <f t="shared" si="54"/>
        <v>0.49992660170213765</v>
      </c>
      <c r="BH61" s="198">
        <f t="shared" si="36"/>
        <v>1.1383867743575047</v>
      </c>
      <c r="BI61" s="198">
        <f t="shared" si="55"/>
        <v>15.547978166157915</v>
      </c>
      <c r="BJ61" s="199">
        <v>16</v>
      </c>
      <c r="BK61" s="124">
        <f t="shared" si="37"/>
        <v>14</v>
      </c>
      <c r="BL61" s="382">
        <f t="shared" si="38"/>
        <v>2.2771078203911408</v>
      </c>
      <c r="BM61" s="123">
        <v>1</v>
      </c>
      <c r="BN61" s="123">
        <f t="shared" si="56"/>
        <v>2.2771078203911408</v>
      </c>
      <c r="BO61" s="123">
        <f t="shared" si="57"/>
        <v>59.353165135527114</v>
      </c>
      <c r="BP61" s="122">
        <f t="shared" si="39"/>
        <v>0.96918876212099847</v>
      </c>
      <c r="BQ61" s="123">
        <f t="shared" si="65"/>
        <v>0.49217666724702031</v>
      </c>
      <c r="BR61" s="123">
        <f t="shared" si="40"/>
        <v>0.48823181306375674</v>
      </c>
      <c r="BS61" s="123">
        <f t="shared" si="41"/>
        <v>0.62801240442517181</v>
      </c>
      <c r="BT61" s="123">
        <f t="shared" si="42"/>
        <v>1.4300519574192025</v>
      </c>
      <c r="BU61" s="123">
        <f t="shared" si="58"/>
        <v>11.65583684254787</v>
      </c>
      <c r="BV61" s="122">
        <f t="shared" si="43"/>
        <v>0.92195987588166106</v>
      </c>
      <c r="BW61" s="123">
        <f t="shared" si="66"/>
        <v>0.47969777488654913</v>
      </c>
      <c r="BX61" s="123">
        <f t="shared" si="59"/>
        <v>0.46948964082906952</v>
      </c>
      <c r="BY61" s="123">
        <f t="shared" si="44"/>
        <v>0.49992660137615264</v>
      </c>
      <c r="BZ61" s="200">
        <f t="shared" si="45"/>
        <v>1.1383867736152016</v>
      </c>
      <c r="CA61" s="202">
        <f t="shared" si="60"/>
        <v>21.563819418607096</v>
      </c>
    </row>
    <row r="62" spans="1:79" s="66" customFormat="1" x14ac:dyDescent="0.35">
      <c r="A62" s="190"/>
      <c r="B62" s="191">
        <v>17</v>
      </c>
      <c r="C62" s="191">
        <f t="shared" si="0"/>
        <v>13</v>
      </c>
      <c r="D62" s="192">
        <f t="shared" si="1"/>
        <v>1.5269437761363365</v>
      </c>
      <c r="E62" s="193">
        <v>1</v>
      </c>
      <c r="F62" s="194">
        <f t="shared" si="2"/>
        <v>1.5269437761363365</v>
      </c>
      <c r="G62" s="194">
        <f t="shared" si="3"/>
        <v>21.015608353664071</v>
      </c>
      <c r="H62" s="195">
        <v>17</v>
      </c>
      <c r="I62" s="102">
        <f t="shared" si="4"/>
        <v>13</v>
      </c>
      <c r="J62" s="100">
        <f t="shared" si="5"/>
        <v>1.5269437761363365</v>
      </c>
      <c r="K62" s="100">
        <v>1</v>
      </c>
      <c r="L62" s="101">
        <f t="shared" si="6"/>
        <v>1.5269437761363365</v>
      </c>
      <c r="M62" s="101">
        <f t="shared" si="7"/>
        <v>63.3304136376073</v>
      </c>
      <c r="N62" s="100">
        <f t="shared" si="8"/>
        <v>0.91000125884972505</v>
      </c>
      <c r="O62" s="101">
        <f t="shared" si="46"/>
        <v>0.47644013564564991</v>
      </c>
      <c r="P62" s="101">
        <f t="shared" si="47"/>
        <v>0.47043235076114776</v>
      </c>
      <c r="Q62" s="101">
        <f t="shared" si="67"/>
        <v>0.55050883324101119</v>
      </c>
      <c r="R62" s="101">
        <f t="shared" si="48"/>
        <v>0.84059603662543836</v>
      </c>
      <c r="S62" s="101">
        <f t="shared" si="49"/>
        <v>3.5788198824399862</v>
      </c>
      <c r="T62" s="100">
        <f t="shared" si="9"/>
        <v>0.78281950094647701</v>
      </c>
      <c r="U62" s="101">
        <f t="shared" si="10"/>
        <v>0.43909072148408052</v>
      </c>
      <c r="V62" s="101">
        <f t="shared" si="11"/>
        <v>0.42380631107619127</v>
      </c>
      <c r="W62" s="101">
        <f t="shared" si="12"/>
        <v>0.4335368770933547</v>
      </c>
      <c r="X62" s="101">
        <f t="shared" si="13"/>
        <v>0.66198643620328179</v>
      </c>
      <c r="Y62" s="101">
        <f t="shared" si="50"/>
        <v>6.1805317625357947</v>
      </c>
      <c r="Z62" s="196">
        <v>17</v>
      </c>
      <c r="AA62" s="113">
        <f t="shared" si="14"/>
        <v>13</v>
      </c>
      <c r="AB62" s="375">
        <f t="shared" si="15"/>
        <v>1.5269437761363365</v>
      </c>
      <c r="AC62" s="112">
        <v>1</v>
      </c>
      <c r="AD62" s="112">
        <f t="shared" si="16"/>
        <v>1.5269437761363365</v>
      </c>
      <c r="AE62" s="112">
        <f t="shared" si="17"/>
        <v>79.652254539874036</v>
      </c>
      <c r="AF62" s="111">
        <f t="shared" si="18"/>
        <v>0.91000125884972505</v>
      </c>
      <c r="AG62" s="112">
        <f>AF62/(1+AF62)</f>
        <v>0.47644013564564991</v>
      </c>
      <c r="AH62" s="112">
        <f t="shared" si="19"/>
        <v>0.47043235076114776</v>
      </c>
      <c r="AI62" s="112">
        <f t="shared" si="20"/>
        <v>0.55050883324101119</v>
      </c>
      <c r="AJ62" s="112">
        <f t="shared" si="21"/>
        <v>0.84059603662543836</v>
      </c>
      <c r="AK62" s="112">
        <f t="shared" si="22"/>
        <v>7.6166887229123503</v>
      </c>
      <c r="AL62" s="111">
        <f t="shared" si="23"/>
        <v>0.78281950094647701</v>
      </c>
      <c r="AM62" s="112">
        <f t="shared" si="62"/>
        <v>0.43909072148408052</v>
      </c>
      <c r="AN62" s="112">
        <f t="shared" si="24"/>
        <v>0.42380631107619127</v>
      </c>
      <c r="AO62" s="112">
        <f t="shared" si="51"/>
        <v>0.4335368770933547</v>
      </c>
      <c r="AP62" s="112">
        <f t="shared" si="25"/>
        <v>0.66198643620328179</v>
      </c>
      <c r="AQ62" s="112">
        <f t="shared" si="26"/>
        <v>13.153135196852487</v>
      </c>
      <c r="AR62" s="197">
        <v>17</v>
      </c>
      <c r="AS62" s="141">
        <f t="shared" si="27"/>
        <v>13</v>
      </c>
      <c r="AT62" s="378">
        <f t="shared" si="28"/>
        <v>2.2904156642045046</v>
      </c>
      <c r="AU62" s="187">
        <v>1</v>
      </c>
      <c r="AV62" s="187">
        <f t="shared" si="52"/>
        <v>2.2904156642045046</v>
      </c>
      <c r="AW62" s="187">
        <f t="shared" si="29"/>
        <v>58.328658895810442</v>
      </c>
      <c r="AX62" s="188">
        <f t="shared" si="30"/>
        <v>0.93906285136634493</v>
      </c>
      <c r="AY62" s="187">
        <f>AX62/(1+AX62)</f>
        <v>0.48428695888049322</v>
      </c>
      <c r="AZ62" s="187">
        <f t="shared" si="31"/>
        <v>0.48027385985329729</v>
      </c>
      <c r="BA62" s="187">
        <f t="shared" si="53"/>
        <v>0.61777609209099171</v>
      </c>
      <c r="BB62" s="187">
        <f t="shared" si="32"/>
        <v>1.4149640382962521</v>
      </c>
      <c r="BC62" s="187">
        <f t="shared" si="33"/>
        <v>8.2671262882062244</v>
      </c>
      <c r="BD62" s="188">
        <f t="shared" si="34"/>
        <v>0.84939115848244418</v>
      </c>
      <c r="BE62" s="187">
        <f t="shared" si="64"/>
        <v>0.45928150709849258</v>
      </c>
      <c r="BF62" s="187">
        <f t="shared" si="35"/>
        <v>0.44895630932195385</v>
      </c>
      <c r="BG62" s="187">
        <f>BF62/$BF$45</f>
        <v>0.47806209629873547</v>
      </c>
      <c r="BH62" s="198">
        <f t="shared" si="36"/>
        <v>1.094960913825066</v>
      </c>
      <c r="BI62" s="198">
        <f t="shared" si="55"/>
        <v>14.867980639584035</v>
      </c>
      <c r="BJ62" s="199">
        <v>17</v>
      </c>
      <c r="BK62" s="124">
        <f t="shared" si="37"/>
        <v>13</v>
      </c>
      <c r="BL62" s="382">
        <f t="shared" si="38"/>
        <v>2.2904156642045046</v>
      </c>
      <c r="BM62" s="123">
        <v>1</v>
      </c>
      <c r="BN62" s="123">
        <f t="shared" si="56"/>
        <v>2.2904156642045046</v>
      </c>
      <c r="BO62" s="123">
        <f t="shared" si="57"/>
        <v>59.353165135527114</v>
      </c>
      <c r="BP62" s="122">
        <f t="shared" si="39"/>
        <v>0.93906285136634493</v>
      </c>
      <c r="BQ62" s="123">
        <f>BP62/(1+BP62)</f>
        <v>0.48428695888049322</v>
      </c>
      <c r="BR62" s="123">
        <f t="shared" si="40"/>
        <v>0.48027385985329729</v>
      </c>
      <c r="BS62" s="123">
        <f t="shared" si="41"/>
        <v>0.61777609209099171</v>
      </c>
      <c r="BT62" s="123">
        <f t="shared" si="42"/>
        <v>1.4149640382962521</v>
      </c>
      <c r="BU62" s="123">
        <f t="shared" si="58"/>
        <v>11.465852081744025</v>
      </c>
      <c r="BV62" s="122">
        <f t="shared" si="43"/>
        <v>0.84939115736435566</v>
      </c>
      <c r="BW62" s="123">
        <f t="shared" si="66"/>
        <v>0.45928150677158985</v>
      </c>
      <c r="BX62" s="123">
        <f t="shared" si="59"/>
        <v>0.44895630897260552</v>
      </c>
      <c r="BY62" s="123">
        <f t="shared" si="44"/>
        <v>0.47806209592763294</v>
      </c>
      <c r="BZ62" s="200">
        <f t="shared" si="45"/>
        <v>1.094960912975087</v>
      </c>
      <c r="CA62" s="202">
        <f t="shared" si="60"/>
        <v>20.620716479353259</v>
      </c>
    </row>
    <row r="63" spans="1:79" s="66" customFormat="1" x14ac:dyDescent="0.35">
      <c r="A63" s="190"/>
      <c r="B63" s="191">
        <v>18</v>
      </c>
      <c r="C63" s="191">
        <f t="shared" si="0"/>
        <v>12</v>
      </c>
      <c r="D63" s="192">
        <f t="shared" si="1"/>
        <v>1.5353084220641338</v>
      </c>
      <c r="E63" s="193">
        <v>1</v>
      </c>
      <c r="F63" s="194">
        <f t="shared" si="2"/>
        <v>1.5353084220641338</v>
      </c>
      <c r="G63" s="194">
        <f t="shared" si="3"/>
        <v>21.015608353664071</v>
      </c>
      <c r="H63" s="195">
        <v>18</v>
      </c>
      <c r="I63" s="102">
        <f t="shared" si="4"/>
        <v>12</v>
      </c>
      <c r="J63" s="100">
        <f t="shared" si="5"/>
        <v>1.5353084220641338</v>
      </c>
      <c r="K63" s="100">
        <v>1</v>
      </c>
      <c r="L63" s="101">
        <f t="shared" si="6"/>
        <v>1.5353084220641338</v>
      </c>
      <c r="M63" s="101">
        <f t="shared" si="7"/>
        <v>63.3304136376073</v>
      </c>
      <c r="N63" s="100">
        <f t="shared" si="8"/>
        <v>0.8671506127551003</v>
      </c>
      <c r="O63" s="101">
        <f t="shared" si="46"/>
        <v>0.4644245658766456</v>
      </c>
      <c r="P63" s="101">
        <f t="shared" si="47"/>
        <v>0.4582685173222002</v>
      </c>
      <c r="Q63" s="101">
        <f t="shared" si="67"/>
        <v>0.53627448531961808</v>
      </c>
      <c r="R63" s="101">
        <f t="shared" si="48"/>
        <v>0.82334673384931834</v>
      </c>
      <c r="S63" s="101">
        <f t="shared" si="49"/>
        <v>3.4862833702559075</v>
      </c>
      <c r="T63" s="100">
        <f t="shared" si="9"/>
        <v>0.69067967373582317</v>
      </c>
      <c r="U63" s="101">
        <f t="shared" si="10"/>
        <v>0.40852190066830202</v>
      </c>
      <c r="V63" s="101">
        <f t="shared" si="11"/>
        <v>0.39316710183484627</v>
      </c>
      <c r="W63" s="101">
        <f t="shared" si="12"/>
        <v>0.40219419355149844</v>
      </c>
      <c r="X63" s="101">
        <f t="shared" si="13"/>
        <v>0.61749213266490788</v>
      </c>
      <c r="Y63" s="101">
        <f t="shared" si="50"/>
        <v>5.7337082940172506</v>
      </c>
      <c r="Z63" s="196">
        <v>18</v>
      </c>
      <c r="AA63" s="113">
        <f t="shared" si="14"/>
        <v>12</v>
      </c>
      <c r="AB63" s="375">
        <f t="shared" si="15"/>
        <v>1.5353084220641338</v>
      </c>
      <c r="AC63" s="112">
        <v>1</v>
      </c>
      <c r="AD63" s="112">
        <f t="shared" si="16"/>
        <v>1.5353084220641338</v>
      </c>
      <c r="AE63" s="112">
        <f t="shared" si="17"/>
        <v>79.652254539874036</v>
      </c>
      <c r="AF63" s="111">
        <f t="shared" si="18"/>
        <v>0.8671506127551003</v>
      </c>
      <c r="AG63" s="112">
        <f t="shared" ref="AG63:AG75" si="68">AF63/(1+AF63)</f>
        <v>0.4644245658766456</v>
      </c>
      <c r="AH63" s="112">
        <f t="shared" si="19"/>
        <v>0.4582685173222002</v>
      </c>
      <c r="AI63" s="112">
        <f t="shared" si="20"/>
        <v>0.53627448531961808</v>
      </c>
      <c r="AJ63" s="112">
        <f t="shared" si="21"/>
        <v>0.82334673384931834</v>
      </c>
      <c r="AK63" s="112">
        <f t="shared" si="22"/>
        <v>7.4197462022036582</v>
      </c>
      <c r="AL63" s="111">
        <f t="shared" si="23"/>
        <v>0.69067967373582317</v>
      </c>
      <c r="AM63" s="112">
        <f t="shared" si="62"/>
        <v>0.40852190066830202</v>
      </c>
      <c r="AN63" s="112">
        <f t="shared" si="24"/>
        <v>0.39316710183484627</v>
      </c>
      <c r="AO63" s="112">
        <f t="shared" si="51"/>
        <v>0.40219419355149844</v>
      </c>
      <c r="AP63" s="112">
        <f t="shared" si="25"/>
        <v>0.61749213266490788</v>
      </c>
      <c r="AQ63" s="112">
        <f t="shared" si="26"/>
        <v>12.202225191636421</v>
      </c>
      <c r="AR63" s="197">
        <v>18</v>
      </c>
      <c r="AS63" s="141">
        <f t="shared" si="27"/>
        <v>12</v>
      </c>
      <c r="AT63" s="378">
        <f t="shared" si="28"/>
        <v>2.3029626330962008</v>
      </c>
      <c r="AU63" s="187">
        <v>1</v>
      </c>
      <c r="AV63" s="187">
        <f t="shared" si="52"/>
        <v>2.3029626330962008</v>
      </c>
      <c r="AW63" s="187">
        <f t="shared" si="29"/>
        <v>58.328658895810442</v>
      </c>
      <c r="AX63" s="188">
        <f t="shared" si="30"/>
        <v>0.9093471048251307</v>
      </c>
      <c r="AY63" s="187">
        <f t="shared" ref="AY63:AY74" si="69">AX63/(1+AX63)</f>
        <v>0.47626076082610136</v>
      </c>
      <c r="AZ63" s="187">
        <f t="shared" si="31"/>
        <v>0.47214064868694883</v>
      </c>
      <c r="BA63" s="187">
        <f t="shared" si="53"/>
        <v>0.60731434551158736</v>
      </c>
      <c r="BB63" s="187">
        <f t="shared" si="32"/>
        <v>1.3986222442564611</v>
      </c>
      <c r="BC63" s="187">
        <f t="shared" si="33"/>
        <v>8.1271264059278305</v>
      </c>
      <c r="BD63" s="188">
        <f t="shared" si="34"/>
        <v>0.78135985190226787</v>
      </c>
      <c r="BE63" s="187">
        <f t="shared" si="64"/>
        <v>0.43863111154541512</v>
      </c>
      <c r="BF63" s="187">
        <f t="shared" si="35"/>
        <v>0.42812413319603437</v>
      </c>
      <c r="BG63" s="187">
        <f t="shared" si="54"/>
        <v>0.45587937254046501</v>
      </c>
      <c r="BH63" s="198">
        <f t="shared" si="36"/>
        <v>1.0498731601600331</v>
      </c>
      <c r="BI63" s="198">
        <f t="shared" si="55"/>
        <v>14.178086356132811</v>
      </c>
      <c r="BJ63" s="199">
        <v>18</v>
      </c>
      <c r="BK63" s="124">
        <f t="shared" si="37"/>
        <v>12</v>
      </c>
      <c r="BL63" s="382">
        <f t="shared" si="38"/>
        <v>2.3029626330962008</v>
      </c>
      <c r="BM63" s="123">
        <v>1</v>
      </c>
      <c r="BN63" s="123">
        <f t="shared" si="56"/>
        <v>2.3029626330962008</v>
      </c>
      <c r="BO63" s="123">
        <f t="shared" si="57"/>
        <v>59.353165135527114</v>
      </c>
      <c r="BP63" s="122">
        <f t="shared" si="39"/>
        <v>0.9093471048251307</v>
      </c>
      <c r="BQ63" s="123">
        <f t="shared" ref="BQ63:BQ75" si="70">BP63/(1+BP63)</f>
        <v>0.47626076082610136</v>
      </c>
      <c r="BR63" s="123">
        <f t="shared" si="40"/>
        <v>0.47214064868694883</v>
      </c>
      <c r="BS63" s="123">
        <f t="shared" si="41"/>
        <v>0.60731434551158736</v>
      </c>
      <c r="BT63" s="123">
        <f t="shared" si="42"/>
        <v>1.3986222442564611</v>
      </c>
      <c r="BU63" s="123">
        <f t="shared" si="58"/>
        <v>11.27168328769093</v>
      </c>
      <c r="BV63" s="122">
        <f t="shared" si="43"/>
        <v>0.78135985072247549</v>
      </c>
      <c r="BW63" s="123">
        <f t="shared" si="66"/>
        <v>0.43863111117362125</v>
      </c>
      <c r="BX63" s="123">
        <f t="shared" si="59"/>
        <v>0.42812413279870021</v>
      </c>
      <c r="BY63" s="123">
        <f t="shared" si="44"/>
        <v>0.45587937211822421</v>
      </c>
      <c r="BZ63" s="200">
        <f t="shared" si="45"/>
        <v>1.0498731591876285</v>
      </c>
      <c r="CA63" s="202">
        <f t="shared" si="60"/>
        <v>19.663887518617457</v>
      </c>
    </row>
    <row r="64" spans="1:79" s="66" customFormat="1" x14ac:dyDescent="0.35">
      <c r="A64" s="190"/>
      <c r="B64" s="191">
        <v>19</v>
      </c>
      <c r="C64" s="191">
        <f t="shared" si="0"/>
        <v>11</v>
      </c>
      <c r="D64" s="192">
        <f t="shared" si="1"/>
        <v>1.5432206983475885</v>
      </c>
      <c r="E64" s="193">
        <v>1</v>
      </c>
      <c r="F64" s="194">
        <f t="shared" si="2"/>
        <v>1.5432206983475885</v>
      </c>
      <c r="G64" s="194">
        <f t="shared" si="3"/>
        <v>21.015608353664071</v>
      </c>
      <c r="H64" s="195">
        <v>19</v>
      </c>
      <c r="I64" s="102">
        <f t="shared" si="4"/>
        <v>11</v>
      </c>
      <c r="J64" s="100">
        <f t="shared" si="5"/>
        <v>1.5432206983475885</v>
      </c>
      <c r="K64" s="100">
        <v>1</v>
      </c>
      <c r="L64" s="101">
        <f t="shared" si="6"/>
        <v>1.5432206983475885</v>
      </c>
      <c r="M64" s="101">
        <f t="shared" si="7"/>
        <v>63.3304136376073</v>
      </c>
      <c r="N64" s="100">
        <f t="shared" si="8"/>
        <v>0.8251921115103964</v>
      </c>
      <c r="O64" s="101">
        <f t="shared" si="46"/>
        <v>0.45211246876775474</v>
      </c>
      <c r="P64" s="101">
        <f t="shared" si="47"/>
        <v>0.44574633941225328</v>
      </c>
      <c r="Q64" s="101">
        <f t="shared" si="67"/>
        <v>0.52162079592158328</v>
      </c>
      <c r="R64" s="101">
        <f t="shared" si="48"/>
        <v>0.80497600895473065</v>
      </c>
      <c r="S64" s="101">
        <f t="shared" si="49"/>
        <v>3.3910207481104284</v>
      </c>
      <c r="T64" s="100">
        <f t="shared" si="9"/>
        <v>0.6072320375731165</v>
      </c>
      <c r="U64" s="101">
        <f t="shared" si="10"/>
        <v>0.37781230300139051</v>
      </c>
      <c r="V64" s="101">
        <f t="shared" si="11"/>
        <v>0.3623608468075491</v>
      </c>
      <c r="W64" s="101">
        <f t="shared" si="12"/>
        <v>0.37068062886304148</v>
      </c>
      <c r="X64" s="101">
        <f t="shared" si="13"/>
        <v>0.57204201893794615</v>
      </c>
      <c r="Y64" s="101">
        <f t="shared" si="50"/>
        <v>5.2844487320312599</v>
      </c>
      <c r="Z64" s="196">
        <v>19</v>
      </c>
      <c r="AA64" s="113">
        <f t="shared" si="14"/>
        <v>11</v>
      </c>
      <c r="AB64" s="375">
        <f t="shared" si="15"/>
        <v>1.5432206983475885</v>
      </c>
      <c r="AC64" s="112">
        <v>1</v>
      </c>
      <c r="AD64" s="112">
        <f t="shared" si="16"/>
        <v>1.5432206983475885</v>
      </c>
      <c r="AE64" s="112">
        <f t="shared" si="17"/>
        <v>79.652254539874036</v>
      </c>
      <c r="AF64" s="111">
        <f t="shared" si="18"/>
        <v>0.8251921115103964</v>
      </c>
      <c r="AG64" s="112">
        <f t="shared" si="68"/>
        <v>0.45211246876775474</v>
      </c>
      <c r="AH64" s="112">
        <f t="shared" si="19"/>
        <v>0.44574633941225328</v>
      </c>
      <c r="AI64" s="112">
        <f t="shared" si="20"/>
        <v>0.52162079592158328</v>
      </c>
      <c r="AJ64" s="112">
        <f t="shared" si="21"/>
        <v>0.80497600895473065</v>
      </c>
      <c r="AK64" s="112">
        <f t="shared" si="22"/>
        <v>7.2170017882221877</v>
      </c>
      <c r="AL64" s="111">
        <f t="shared" si="23"/>
        <v>0.6072320375731165</v>
      </c>
      <c r="AM64" s="112">
        <f t="shared" si="62"/>
        <v>0.37781230300139051</v>
      </c>
      <c r="AN64" s="112">
        <f t="shared" si="24"/>
        <v>0.3623608468075491</v>
      </c>
      <c r="AO64" s="112">
        <f t="shared" si="51"/>
        <v>0.37068062886304148</v>
      </c>
      <c r="AP64" s="112">
        <f t="shared" si="25"/>
        <v>0.57204201893794615</v>
      </c>
      <c r="AQ64" s="112">
        <f t="shared" si="26"/>
        <v>11.246130799710507</v>
      </c>
      <c r="AR64" s="197">
        <v>19</v>
      </c>
      <c r="AS64" s="141">
        <f t="shared" si="27"/>
        <v>11</v>
      </c>
      <c r="AT64" s="378">
        <f t="shared" si="28"/>
        <v>2.3148310475213831</v>
      </c>
      <c r="AU64" s="187">
        <v>1</v>
      </c>
      <c r="AV64" s="187">
        <f t="shared" si="52"/>
        <v>2.3148310475213831</v>
      </c>
      <c r="AW64" s="187">
        <f t="shared" si="29"/>
        <v>58.328658895810442</v>
      </c>
      <c r="AX64" s="188">
        <f t="shared" si="30"/>
        <v>0.87977181207455768</v>
      </c>
      <c r="AY64" s="187">
        <f t="shared" si="69"/>
        <v>0.46802053654779624</v>
      </c>
      <c r="AZ64" s="187">
        <f t="shared" si="31"/>
        <v>0.46374832351128825</v>
      </c>
      <c r="BA64" s="187">
        <f t="shared" si="53"/>
        <v>0.59651930067579284</v>
      </c>
      <c r="BB64" s="187">
        <f t="shared" si="32"/>
        <v>1.3808413976500684</v>
      </c>
      <c r="BC64" s="187">
        <f t="shared" si="33"/>
        <v>7.9826663012282504</v>
      </c>
      <c r="BD64" s="188">
        <f t="shared" si="34"/>
        <v>0.71708354447956213</v>
      </c>
      <c r="BE64" s="187">
        <f t="shared" si="64"/>
        <v>0.41761715484665363</v>
      </c>
      <c r="BF64" s="187">
        <f t="shared" si="35"/>
        <v>0.40685542854866852</v>
      </c>
      <c r="BG64" s="187">
        <f t="shared" si="54"/>
        <v>0.43323182016585982</v>
      </c>
      <c r="BH64" s="198">
        <f t="shared" si="36"/>
        <v>1.0028584680941328</v>
      </c>
      <c r="BI64" s="198">
        <f t="shared" si="55"/>
        <v>13.473735660173888</v>
      </c>
      <c r="BJ64" s="199">
        <v>19</v>
      </c>
      <c r="BK64" s="124">
        <f t="shared" si="37"/>
        <v>11</v>
      </c>
      <c r="BL64" s="382">
        <f t="shared" si="38"/>
        <v>2.3148310475213831</v>
      </c>
      <c r="BM64" s="123">
        <v>1</v>
      </c>
      <c r="BN64" s="123">
        <f t="shared" si="56"/>
        <v>2.3148310475213831</v>
      </c>
      <c r="BO64" s="123">
        <f t="shared" si="57"/>
        <v>59.353165135527114</v>
      </c>
      <c r="BP64" s="122">
        <f t="shared" si="39"/>
        <v>0.87977181207455768</v>
      </c>
      <c r="BQ64" s="123">
        <f t="shared" si="70"/>
        <v>0.46802053654779624</v>
      </c>
      <c r="BR64" s="123">
        <f t="shared" si="40"/>
        <v>0.46374832351128825</v>
      </c>
      <c r="BS64" s="123">
        <f t="shared" si="41"/>
        <v>0.59651930067579284</v>
      </c>
      <c r="BT64" s="123">
        <f t="shared" si="42"/>
        <v>1.3808413976500684</v>
      </c>
      <c r="BU64" s="123">
        <f t="shared" si="58"/>
        <v>11.071328516945311</v>
      </c>
      <c r="BV64" s="122">
        <f t="shared" si="43"/>
        <v>0.71708354323276924</v>
      </c>
      <c r="BW64" s="123">
        <f t="shared" si="66"/>
        <v>0.41761715442377917</v>
      </c>
      <c r="BX64" s="123">
        <f t="shared" si="59"/>
        <v>0.40685542809644504</v>
      </c>
      <c r="BY64" s="123">
        <f t="shared" si="44"/>
        <v>0.43323181968512897</v>
      </c>
      <c r="BZ64" s="200">
        <f t="shared" si="45"/>
        <v>1.0028584669813221</v>
      </c>
      <c r="CA64" s="202">
        <f t="shared" si="60"/>
        <v>18.687008653607339</v>
      </c>
    </row>
    <row r="65" spans="1:81" s="66" customFormat="1" ht="15" thickBot="1" x14ac:dyDescent="0.4">
      <c r="A65" s="190"/>
      <c r="B65" s="191">
        <v>20</v>
      </c>
      <c r="C65" s="191">
        <f t="shared" si="0"/>
        <v>10</v>
      </c>
      <c r="D65" s="192">
        <f t="shared" si="1"/>
        <v>1.5507270341116204</v>
      </c>
      <c r="E65" s="193">
        <v>1</v>
      </c>
      <c r="F65" s="194">
        <f t="shared" si="2"/>
        <v>1.5507270341116204</v>
      </c>
      <c r="G65" s="194">
        <f t="shared" si="3"/>
        <v>21.015608353664071</v>
      </c>
      <c r="H65" s="195">
        <v>20</v>
      </c>
      <c r="I65" s="102">
        <f t="shared" si="4"/>
        <v>10</v>
      </c>
      <c r="J65" s="100">
        <f t="shared" si="5"/>
        <v>1.5507270341116204</v>
      </c>
      <c r="K65" s="100">
        <v>1</v>
      </c>
      <c r="L65" s="101">
        <f t="shared" si="6"/>
        <v>1.5507270341116204</v>
      </c>
      <c r="M65" s="101">
        <f t="shared" si="7"/>
        <v>63.3304136376073</v>
      </c>
      <c r="N65" s="100">
        <f t="shared" si="8"/>
        <v>0.7837400996872238</v>
      </c>
      <c r="O65" s="101">
        <f t="shared" si="46"/>
        <v>0.43938021005675182</v>
      </c>
      <c r="P65" s="101">
        <f t="shared" si="47"/>
        <v>0.43272925460379613</v>
      </c>
      <c r="Q65" s="101">
        <f t="shared" si="67"/>
        <v>0.50638795711169149</v>
      </c>
      <c r="R65" s="101">
        <f t="shared" si="48"/>
        <v>0.78526949484165576</v>
      </c>
      <c r="S65" s="101">
        <f t="shared" si="49"/>
        <v>3.2919931156601105</v>
      </c>
      <c r="T65" s="100">
        <f t="shared" si="9"/>
        <v>0.53118110355268733</v>
      </c>
      <c r="U65" s="101">
        <f t="shared" si="10"/>
        <v>0.34690939061370774</v>
      </c>
      <c r="V65" s="101">
        <f t="shared" si="11"/>
        <v>0.33133225551905265</v>
      </c>
      <c r="W65" s="101">
        <f t="shared" si="12"/>
        <v>0.33893962308693248</v>
      </c>
      <c r="X65" s="101">
        <f t="shared" si="13"/>
        <v>0.52560283645250927</v>
      </c>
      <c r="Y65" s="101">
        <f t="shared" si="50"/>
        <v>4.8319467541387757</v>
      </c>
      <c r="Z65" s="196">
        <v>20</v>
      </c>
      <c r="AA65" s="113">
        <f t="shared" si="14"/>
        <v>10</v>
      </c>
      <c r="AB65" s="376">
        <f t="shared" si="15"/>
        <v>1.5507270341116204</v>
      </c>
      <c r="AC65" s="112">
        <v>1</v>
      </c>
      <c r="AD65" s="112">
        <f t="shared" si="16"/>
        <v>1.5507270341116204</v>
      </c>
      <c r="AE65" s="112">
        <f t="shared" si="17"/>
        <v>79.652254539874036</v>
      </c>
      <c r="AF65" s="111">
        <f t="shared" si="18"/>
        <v>0.7837400996872238</v>
      </c>
      <c r="AG65" s="112">
        <f t="shared" si="68"/>
        <v>0.43938021005675182</v>
      </c>
      <c r="AH65" s="112">
        <f t="shared" si="19"/>
        <v>0.43272925460379613</v>
      </c>
      <c r="AI65" s="112">
        <f t="shared" si="20"/>
        <v>0.50638795711169149</v>
      </c>
      <c r="AJ65" s="112">
        <f t="shared" si="21"/>
        <v>0.78526949484165576</v>
      </c>
      <c r="AK65" s="112">
        <f t="shared" si="22"/>
        <v>7.006244422353638</v>
      </c>
      <c r="AL65" s="111">
        <f t="shared" si="23"/>
        <v>0.53118110355268733</v>
      </c>
      <c r="AM65" s="112">
        <f t="shared" si="62"/>
        <v>0.34690939061370774</v>
      </c>
      <c r="AN65" s="112">
        <f t="shared" si="24"/>
        <v>0.33133225551905265</v>
      </c>
      <c r="AO65" s="112">
        <f t="shared" si="51"/>
        <v>0.33893962308693248</v>
      </c>
      <c r="AP65" s="112">
        <f t="shared" si="25"/>
        <v>0.52560283645250927</v>
      </c>
      <c r="AQ65" s="112">
        <f t="shared" si="26"/>
        <v>10.283136041210788</v>
      </c>
      <c r="AR65" s="197">
        <v>20</v>
      </c>
      <c r="AS65" s="141">
        <f t="shared" si="27"/>
        <v>10</v>
      </c>
      <c r="AT65" s="378">
        <f t="shared" si="28"/>
        <v>2.3260905511674306</v>
      </c>
      <c r="AU65" s="187">
        <v>1</v>
      </c>
      <c r="AV65" s="187">
        <f t="shared" si="52"/>
        <v>2.3260905511674306</v>
      </c>
      <c r="AW65" s="187">
        <f t="shared" si="29"/>
        <v>58.328658895810442</v>
      </c>
      <c r="AX65" s="188">
        <f t="shared" si="30"/>
        <v>0.85005698985547251</v>
      </c>
      <c r="AY65" s="187">
        <f t="shared" si="69"/>
        <v>0.45947611047478021</v>
      </c>
      <c r="AZ65" s="187">
        <f t="shared" si="31"/>
        <v>0.45499681757987065</v>
      </c>
      <c r="BA65" s="187">
        <f t="shared" si="53"/>
        <v>0.58526224176387587</v>
      </c>
      <c r="BB65" s="187">
        <f t="shared" si="32"/>
        <v>1.3613729705220201</v>
      </c>
      <c r="BC65" s="187">
        <f t="shared" si="33"/>
        <v>7.8320234892935865</v>
      </c>
      <c r="BD65" s="188">
        <f t="shared" si="34"/>
        <v>0.65588602689999287</v>
      </c>
      <c r="BE65" s="187">
        <f t="shared" si="64"/>
        <v>0.39609370225068335</v>
      </c>
      <c r="BF65" s="187">
        <f t="shared" si="35"/>
        <v>0.38499166690143161</v>
      </c>
      <c r="BG65" s="187">
        <f t="shared" si="54"/>
        <v>0.40995063331309084</v>
      </c>
      <c r="BH65" s="198">
        <f t="shared" si="36"/>
        <v>0.95358229459468469</v>
      </c>
      <c r="BI65" s="198">
        <f t="shared" si="55"/>
        <v>12.74967860132435</v>
      </c>
      <c r="BJ65" s="199">
        <v>20</v>
      </c>
      <c r="BK65" s="124">
        <f t="shared" si="37"/>
        <v>10</v>
      </c>
      <c r="BL65" s="382">
        <f t="shared" si="38"/>
        <v>2.3260905511674306</v>
      </c>
      <c r="BM65" s="123">
        <v>1</v>
      </c>
      <c r="BN65" s="123">
        <f t="shared" si="56"/>
        <v>2.3260905511674306</v>
      </c>
      <c r="BO65" s="123">
        <f t="shared" si="57"/>
        <v>59.353165135527114</v>
      </c>
      <c r="BP65" s="122">
        <f t="shared" si="39"/>
        <v>0.85005698985547251</v>
      </c>
      <c r="BQ65" s="123">
        <f t="shared" si="70"/>
        <v>0.45947611047478021</v>
      </c>
      <c r="BR65" s="123">
        <f t="shared" si="40"/>
        <v>0.45499681757987065</v>
      </c>
      <c r="BS65" s="123">
        <f t="shared" si="41"/>
        <v>0.58526224176387587</v>
      </c>
      <c r="BT65" s="123">
        <f t="shared" si="42"/>
        <v>1.3613729705220201</v>
      </c>
      <c r="BU65" s="123">
        <f t="shared" si="58"/>
        <v>10.862398818933451</v>
      </c>
      <c r="BV65" s="122">
        <f t="shared" si="43"/>
        <v>0.65588602557954112</v>
      </c>
      <c r="BW65" s="123">
        <f t="shared" si="66"/>
        <v>0.39609370176911091</v>
      </c>
      <c r="BX65" s="123">
        <f t="shared" si="59"/>
        <v>0.38499166638572568</v>
      </c>
      <c r="BY65" s="123">
        <f t="shared" si="44"/>
        <v>0.40995063276471838</v>
      </c>
      <c r="BZ65" s="200">
        <f t="shared" si="45"/>
        <v>0.9535822933191207</v>
      </c>
      <c r="CA65" s="202">
        <f t="shared" si="60"/>
        <v>17.682798617132736</v>
      </c>
    </row>
    <row r="66" spans="1:81" s="66" customFormat="1" x14ac:dyDescent="0.35">
      <c r="A66" s="190"/>
      <c r="B66" s="206">
        <v>21</v>
      </c>
      <c r="C66" s="238">
        <f t="shared" si="0"/>
        <v>9</v>
      </c>
      <c r="D66" s="207">
        <f t="shared" si="1"/>
        <v>1.5578670581364154</v>
      </c>
      <c r="E66" s="208">
        <v>1</v>
      </c>
      <c r="F66" s="209">
        <f t="shared" si="2"/>
        <v>1.5578670581364154</v>
      </c>
      <c r="G66" s="209">
        <f t="shared" si="3"/>
        <v>21.015608353664071</v>
      </c>
      <c r="H66" s="210">
        <v>21</v>
      </c>
      <c r="I66" s="168">
        <f t="shared" si="4"/>
        <v>9</v>
      </c>
      <c r="J66" s="211">
        <f t="shared" si="5"/>
        <v>1.5578670581364154</v>
      </c>
      <c r="K66" s="211">
        <v>1</v>
      </c>
      <c r="L66" s="212">
        <f t="shared" si="6"/>
        <v>1.5578670581364154</v>
      </c>
      <c r="M66" s="212">
        <f t="shared" si="7"/>
        <v>63.3304136376073</v>
      </c>
      <c r="N66" s="211">
        <f t="shared" si="8"/>
        <v>0.74239795867698699</v>
      </c>
      <c r="O66" s="212">
        <f t="shared" si="46"/>
        <v>0.42607829915084044</v>
      </c>
      <c r="P66" s="212">
        <f t="shared" si="47"/>
        <v>0.41904794279091817</v>
      </c>
      <c r="Q66" s="212">
        <f t="shared" si="67"/>
        <v>0.49037782729998142</v>
      </c>
      <c r="R66" s="212">
        <f t="shared" si="48"/>
        <v>0.76394346319114914</v>
      </c>
      <c r="S66" s="212">
        <f t="shared" si="49"/>
        <v>3.1879123681210269</v>
      </c>
      <c r="T66" s="211">
        <f t="shared" si="9"/>
        <v>0.46146508340733539</v>
      </c>
      <c r="U66" s="212">
        <f t="shared" si="10"/>
        <v>0.31575512042439757</v>
      </c>
      <c r="V66" s="212">
        <f t="shared" si="11"/>
        <v>0.30001932176382928</v>
      </c>
      <c r="W66" s="212">
        <f t="shared" si="12"/>
        <v>0.30690774635909851</v>
      </c>
      <c r="X66" s="212">
        <f t="shared" si="13"/>
        <v>0.47812146793972593</v>
      </c>
      <c r="Y66" s="168">
        <f t="shared" si="50"/>
        <v>4.3752980998020918</v>
      </c>
      <c r="Z66" s="213">
        <v>21</v>
      </c>
      <c r="AA66" s="169">
        <f t="shared" si="14"/>
        <v>9</v>
      </c>
      <c r="AB66" s="215">
        <f t="shared" si="15"/>
        <v>1.5578670581364154</v>
      </c>
      <c r="AC66" s="214">
        <v>1</v>
      </c>
      <c r="AD66" s="215">
        <f t="shared" si="16"/>
        <v>1.5578670581364154</v>
      </c>
      <c r="AE66" s="215">
        <f t="shared" si="17"/>
        <v>79.652254539874036</v>
      </c>
      <c r="AF66" s="214">
        <f t="shared" si="18"/>
        <v>0.74239795867698699</v>
      </c>
      <c r="AG66" s="215">
        <f t="shared" si="68"/>
        <v>0.42607829915084044</v>
      </c>
      <c r="AH66" s="215">
        <f t="shared" si="19"/>
        <v>0.41904794279091817</v>
      </c>
      <c r="AI66" s="215">
        <f t="shared" si="20"/>
        <v>0.49037782729998142</v>
      </c>
      <c r="AJ66" s="215">
        <f t="shared" si="21"/>
        <v>0.76394346319114914</v>
      </c>
      <c r="AK66" s="215">
        <f t="shared" si="22"/>
        <v>6.7847326720856307</v>
      </c>
      <c r="AL66" s="214">
        <f t="shared" si="23"/>
        <v>0.46146508340733539</v>
      </c>
      <c r="AM66" s="215">
        <f t="shared" si="62"/>
        <v>0.31575512042439757</v>
      </c>
      <c r="AN66" s="215">
        <f t="shared" si="24"/>
        <v>0.30001932176382928</v>
      </c>
      <c r="AO66" s="215">
        <f t="shared" si="51"/>
        <v>0.30690774635909851</v>
      </c>
      <c r="AP66" s="215">
        <f t="shared" si="25"/>
        <v>0.47812146793972593</v>
      </c>
      <c r="AQ66" s="215">
        <f t="shared" si="26"/>
        <v>9.311316508729842</v>
      </c>
      <c r="AR66" s="216">
        <v>21</v>
      </c>
      <c r="AS66" s="217">
        <f t="shared" si="27"/>
        <v>9</v>
      </c>
      <c r="AT66" s="379">
        <f t="shared" si="28"/>
        <v>2.3368005872046229</v>
      </c>
      <c r="AU66" s="218">
        <v>1</v>
      </c>
      <c r="AV66" s="218">
        <f t="shared" si="52"/>
        <v>2.3368005872046229</v>
      </c>
      <c r="AW66" s="218">
        <f t="shared" si="29"/>
        <v>58.328658895810442</v>
      </c>
      <c r="AX66" s="219">
        <f t="shared" si="30"/>
        <v>0.8198942549107916</v>
      </c>
      <c r="AY66" s="218">
        <f t="shared" si="69"/>
        <v>0.45051752468496115</v>
      </c>
      <c r="AZ66" s="218">
        <f t="shared" si="31"/>
        <v>0.44576088903890987</v>
      </c>
      <c r="BA66" s="218">
        <f t="shared" si="53"/>
        <v>0.57338207022464349</v>
      </c>
      <c r="BB66" s="218">
        <f t="shared" si="32"/>
        <v>1.3398795583935492</v>
      </c>
      <c r="BC66" s="218">
        <f t="shared" si="33"/>
        <v>7.6730421371535922</v>
      </c>
      <c r="BD66" s="219">
        <f t="shared" si="34"/>
        <v>0.59716249785015296</v>
      </c>
      <c r="BE66" s="218">
        <f t="shared" si="64"/>
        <v>0.37388963155217986</v>
      </c>
      <c r="BF66" s="218">
        <f t="shared" si="35"/>
        <v>0.36234289234398065</v>
      </c>
      <c r="BG66" s="218">
        <f t="shared" si="54"/>
        <v>0.38583354125153818</v>
      </c>
      <c r="BH66" s="220">
        <f t="shared" si="36"/>
        <v>0.90161604575983356</v>
      </c>
      <c r="BI66" s="220">
        <f t="shared" si="55"/>
        <v>11.999624454320477</v>
      </c>
      <c r="BJ66" s="221">
        <v>21</v>
      </c>
      <c r="BK66" s="222">
        <f t="shared" si="37"/>
        <v>9</v>
      </c>
      <c r="BL66" s="383">
        <f t="shared" si="38"/>
        <v>2.3368005872046229</v>
      </c>
      <c r="BM66" s="223">
        <v>1</v>
      </c>
      <c r="BN66" s="223">
        <f t="shared" si="56"/>
        <v>2.3368005872046229</v>
      </c>
      <c r="BO66" s="223">
        <f t="shared" si="57"/>
        <v>59.353165135527114</v>
      </c>
      <c r="BP66" s="224">
        <f t="shared" si="39"/>
        <v>0.8198942549107916</v>
      </c>
      <c r="BQ66" s="223">
        <f t="shared" si="70"/>
        <v>0.45051752468496115</v>
      </c>
      <c r="BR66" s="223">
        <f t="shared" si="40"/>
        <v>0.44576088903890987</v>
      </c>
      <c r="BS66" s="223">
        <f t="shared" si="41"/>
        <v>0.57338207022464349</v>
      </c>
      <c r="BT66" s="223">
        <f t="shared" si="42"/>
        <v>1.3398795583935492</v>
      </c>
      <c r="BU66" s="223">
        <f t="shared" si="58"/>
        <v>10.641904223369659</v>
      </c>
      <c r="BV66" s="224">
        <f t="shared" si="43"/>
        <v>0.59716249644755215</v>
      </c>
      <c r="BW66" s="223">
        <f t="shared" si="66"/>
        <v>0.37388963100234046</v>
      </c>
      <c r="BX66" s="223">
        <f t="shared" si="59"/>
        <v>0.36234289175384787</v>
      </c>
      <c r="BY66" s="223">
        <f t="shared" si="44"/>
        <v>0.38583354062386871</v>
      </c>
      <c r="BZ66" s="225">
        <f t="shared" si="45"/>
        <v>0.90161604429309516</v>
      </c>
      <c r="CA66" s="226">
        <f t="shared" si="60"/>
        <v>16.642532669300341</v>
      </c>
    </row>
    <row r="67" spans="1:81" s="66" customFormat="1" x14ac:dyDescent="0.35">
      <c r="A67" s="190"/>
      <c r="B67" s="191">
        <v>22</v>
      </c>
      <c r="C67" s="239">
        <f t="shared" si="0"/>
        <v>8</v>
      </c>
      <c r="D67" s="192">
        <f t="shared" si="1"/>
        <v>1.5646748653024971</v>
      </c>
      <c r="E67" s="193">
        <v>1</v>
      </c>
      <c r="F67" s="194">
        <f t="shared" si="2"/>
        <v>1.5646748653024971</v>
      </c>
      <c r="G67" s="194">
        <f t="shared" si="3"/>
        <v>21.015608353664071</v>
      </c>
      <c r="H67" s="195">
        <v>22</v>
      </c>
      <c r="I67" s="102">
        <f t="shared" si="4"/>
        <v>8</v>
      </c>
      <c r="J67" s="100">
        <f t="shared" si="5"/>
        <v>1.5646748653024971</v>
      </c>
      <c r="K67" s="100">
        <v>1</v>
      </c>
      <c r="L67" s="101">
        <f t="shared" si="6"/>
        <v>1.5646748653024971</v>
      </c>
      <c r="M67" s="101">
        <f t="shared" si="7"/>
        <v>63.3304136376073</v>
      </c>
      <c r="N67" s="100">
        <f t="shared" si="8"/>
        <v>0.70073113910003471</v>
      </c>
      <c r="O67" s="101">
        <f t="shared" si="46"/>
        <v>0.4120175864309959</v>
      </c>
      <c r="P67" s="101">
        <f t="shared" si="47"/>
        <v>0.40448239184537915</v>
      </c>
      <c r="Q67" s="101">
        <f t="shared" si="67"/>
        <v>0.47333294413332094</v>
      </c>
      <c r="R67" s="101">
        <f t="shared" si="48"/>
        <v>0.74061216060503832</v>
      </c>
      <c r="S67" s="101">
        <f t="shared" si="49"/>
        <v>3.0771047605271895</v>
      </c>
      <c r="T67" s="100">
        <f t="shared" si="9"/>
        <v>0.39720131124531355</v>
      </c>
      <c r="U67" s="101">
        <f t="shared" si="10"/>
        <v>0.28428352310326094</v>
      </c>
      <c r="V67" s="101">
        <f t="shared" si="11"/>
        <v>0.2683503725663412</v>
      </c>
      <c r="W67" s="101">
        <f t="shared" si="12"/>
        <v>0.27451168009703003</v>
      </c>
      <c r="X67" s="101">
        <f t="shared" si="13"/>
        <v>0.42952152607978267</v>
      </c>
      <c r="Y67" s="102">
        <f t="shared" si="50"/>
        <v>3.9134575342282116</v>
      </c>
      <c r="Z67" s="196">
        <v>22</v>
      </c>
      <c r="AA67" s="113">
        <f t="shared" si="14"/>
        <v>8</v>
      </c>
      <c r="AB67" s="112">
        <f t="shared" si="15"/>
        <v>1.5646748653024971</v>
      </c>
      <c r="AC67" s="111">
        <v>1</v>
      </c>
      <c r="AD67" s="112">
        <f t="shared" si="16"/>
        <v>1.5646748653024971</v>
      </c>
      <c r="AE67" s="112">
        <f t="shared" si="17"/>
        <v>79.652254539874036</v>
      </c>
      <c r="AF67" s="111">
        <f t="shared" si="18"/>
        <v>0.70073113910003471</v>
      </c>
      <c r="AG67" s="112">
        <f t="shared" si="68"/>
        <v>0.4120175864309959</v>
      </c>
      <c r="AH67" s="112">
        <f t="shared" si="19"/>
        <v>0.40448239184537915</v>
      </c>
      <c r="AI67" s="112">
        <f t="shared" si="20"/>
        <v>0.47333294413332094</v>
      </c>
      <c r="AJ67" s="112">
        <f t="shared" si="21"/>
        <v>0.74061216060503832</v>
      </c>
      <c r="AK67" s="112">
        <f t="shared" si="22"/>
        <v>6.5489043591509608</v>
      </c>
      <c r="AL67" s="111">
        <f t="shared" si="23"/>
        <v>0.39720131124531355</v>
      </c>
      <c r="AM67" s="112">
        <f t="shared" si="62"/>
        <v>0.28428352310326094</v>
      </c>
      <c r="AN67" s="112">
        <f t="shared" si="24"/>
        <v>0.2683503725663412</v>
      </c>
      <c r="AO67" s="112">
        <f t="shared" si="51"/>
        <v>0.27451168009703003</v>
      </c>
      <c r="AP67" s="112">
        <f t="shared" si="25"/>
        <v>0.42952152607978267</v>
      </c>
      <c r="AQ67" s="112">
        <f t="shared" si="26"/>
        <v>8.3284477796657104</v>
      </c>
      <c r="AR67" s="197">
        <v>22</v>
      </c>
      <c r="AS67" s="141">
        <f t="shared" si="27"/>
        <v>8</v>
      </c>
      <c r="AT67" s="378">
        <f t="shared" si="28"/>
        <v>2.347012297953746</v>
      </c>
      <c r="AU67" s="187">
        <v>1</v>
      </c>
      <c r="AV67" s="187">
        <f t="shared" si="52"/>
        <v>2.347012297953746</v>
      </c>
      <c r="AW67" s="187">
        <f t="shared" si="29"/>
        <v>58.328658895810442</v>
      </c>
      <c r="AX67" s="188">
        <f t="shared" si="30"/>
        <v>0.78892237744126092</v>
      </c>
      <c r="AY67" s="187">
        <f t="shared" si="69"/>
        <v>0.44100425339285865</v>
      </c>
      <c r="AZ67" s="187">
        <f t="shared" si="31"/>
        <v>0.43587600191794418</v>
      </c>
      <c r="BA67" s="187">
        <f t="shared" si="53"/>
        <v>0.56066714349884572</v>
      </c>
      <c r="BB67" s="187">
        <f t="shared" si="32"/>
        <v>1.3158926808503886</v>
      </c>
      <c r="BC67" s="187">
        <f t="shared" si="33"/>
        <v>7.5028900281076236</v>
      </c>
      <c r="BD67" s="188">
        <f t="shared" si="34"/>
        <v>0.54034823550444955</v>
      </c>
      <c r="BE67" s="187">
        <f t="shared" si="64"/>
        <v>0.35079615313578139</v>
      </c>
      <c r="BF67" s="187">
        <f t="shared" si="35"/>
        <v>0.33867191501619942</v>
      </c>
      <c r="BG67" s="187">
        <f t="shared" si="54"/>
        <v>0.36062797712916406</v>
      </c>
      <c r="BH67" s="198">
        <f t="shared" si="36"/>
        <v>0.84639829730833027</v>
      </c>
      <c r="BI67" s="198">
        <f t="shared" si="55"/>
        <v>11.2157182582788</v>
      </c>
      <c r="BJ67" s="199">
        <v>22</v>
      </c>
      <c r="BK67" s="124">
        <f t="shared" si="37"/>
        <v>8</v>
      </c>
      <c r="BL67" s="382">
        <f t="shared" si="38"/>
        <v>2.347012297953746</v>
      </c>
      <c r="BM67" s="123">
        <v>1</v>
      </c>
      <c r="BN67" s="123">
        <f t="shared" si="56"/>
        <v>2.347012297953746</v>
      </c>
      <c r="BO67" s="123">
        <f t="shared" si="57"/>
        <v>59.353165135527114</v>
      </c>
      <c r="BP67" s="122">
        <f t="shared" si="39"/>
        <v>0.78892237744126092</v>
      </c>
      <c r="BQ67" s="123">
        <f t="shared" si="70"/>
        <v>0.44100425339285865</v>
      </c>
      <c r="BR67" s="123">
        <f t="shared" si="40"/>
        <v>0.43587600191794418</v>
      </c>
      <c r="BS67" s="123">
        <f t="shared" si="41"/>
        <v>0.56066714349884572</v>
      </c>
      <c r="BT67" s="123">
        <f t="shared" si="42"/>
        <v>1.3158926808503886</v>
      </c>
      <c r="BU67" s="123">
        <f t="shared" si="58"/>
        <v>10.4059166690848</v>
      </c>
      <c r="BV67" s="122">
        <f t="shared" si="43"/>
        <v>0.54034823400865484</v>
      </c>
      <c r="BW67" s="123">
        <f t="shared" si="66"/>
        <v>0.35079615250535529</v>
      </c>
      <c r="BX67" s="123">
        <f t="shared" si="59"/>
        <v>0.33867191433730603</v>
      </c>
      <c r="BY67" s="123">
        <f t="shared" si="44"/>
        <v>0.3606279764069325</v>
      </c>
      <c r="BZ67" s="200">
        <f t="shared" si="45"/>
        <v>0.84639829561324398</v>
      </c>
      <c r="CA67" s="202">
        <f t="shared" si="60"/>
        <v>15.555316598737299</v>
      </c>
    </row>
    <row r="68" spans="1:81" s="66" customFormat="1" x14ac:dyDescent="0.35">
      <c r="A68" s="190"/>
      <c r="B68" s="191">
        <v>23</v>
      </c>
      <c r="C68" s="239">
        <f t="shared" si="0"/>
        <v>7</v>
      </c>
      <c r="D68" s="192">
        <f t="shared" si="1"/>
        <v>1.5711800012884729</v>
      </c>
      <c r="E68" s="193">
        <v>1</v>
      </c>
      <c r="F68" s="194">
        <f t="shared" si="2"/>
        <v>1.5711800012884729</v>
      </c>
      <c r="G68" s="194">
        <f t="shared" si="3"/>
        <v>21.015608353664071</v>
      </c>
      <c r="H68" s="195">
        <v>23</v>
      </c>
      <c r="I68" s="102">
        <f t="shared" si="4"/>
        <v>7</v>
      </c>
      <c r="J68" s="100">
        <f t="shared" si="5"/>
        <v>1.5711800012884729</v>
      </c>
      <c r="K68" s="100">
        <v>1</v>
      </c>
      <c r="L68" s="101">
        <f t="shared" si="6"/>
        <v>1.5711800012884729</v>
      </c>
      <c r="M68" s="101">
        <f t="shared" si="7"/>
        <v>63.3304136376073</v>
      </c>
      <c r="N68" s="100">
        <f t="shared" si="8"/>
        <v>0.65822958695500122</v>
      </c>
      <c r="O68" s="101">
        <f t="shared" si="46"/>
        <v>0.39694719725976241</v>
      </c>
      <c r="P68" s="101">
        <f t="shared" si="47"/>
        <v>0.3887319532658996</v>
      </c>
      <c r="Q68" s="101">
        <f t="shared" si="67"/>
        <v>0.45490148304992728</v>
      </c>
      <c r="R68" s="101">
        <f t="shared" si="48"/>
        <v>0.71473211272451298</v>
      </c>
      <c r="S68" s="101">
        <f t="shared" si="49"/>
        <v>2.9572831057149958</v>
      </c>
      <c r="T68" s="100">
        <f t="shared" si="9"/>
        <v>0.33764451170831483</v>
      </c>
      <c r="U68" s="101">
        <f t="shared" si="10"/>
        <v>0.25241722202942152</v>
      </c>
      <c r="V68" s="101">
        <f t="shared" si="11"/>
        <v>0.23623966210004083</v>
      </c>
      <c r="W68" s="101">
        <f t="shared" si="12"/>
        <v>0.24166370975544152</v>
      </c>
      <c r="X68" s="101">
        <f t="shared" si="13"/>
        <v>0.37969718780493172</v>
      </c>
      <c r="Y68" s="102">
        <f t="shared" si="50"/>
        <v>3.4451745927812145</v>
      </c>
      <c r="Z68" s="196">
        <v>23</v>
      </c>
      <c r="AA68" s="113">
        <f t="shared" si="14"/>
        <v>7</v>
      </c>
      <c r="AB68" s="112">
        <f t="shared" si="15"/>
        <v>1.5711800012884729</v>
      </c>
      <c r="AC68" s="111">
        <v>1</v>
      </c>
      <c r="AD68" s="112">
        <f t="shared" si="16"/>
        <v>1.5711800012884729</v>
      </c>
      <c r="AE68" s="112">
        <f t="shared" si="17"/>
        <v>79.652254539874036</v>
      </c>
      <c r="AF68" s="111">
        <f t="shared" si="18"/>
        <v>0.65822958695500122</v>
      </c>
      <c r="AG68" s="112">
        <f t="shared" si="68"/>
        <v>0.39694719725976241</v>
      </c>
      <c r="AH68" s="112">
        <f t="shared" si="19"/>
        <v>0.3887319532658996</v>
      </c>
      <c r="AI68" s="112">
        <f t="shared" si="20"/>
        <v>0.45490148304992728</v>
      </c>
      <c r="AJ68" s="112">
        <f t="shared" si="21"/>
        <v>0.71473211272451298</v>
      </c>
      <c r="AK68" s="112">
        <f t="shared" si="22"/>
        <v>6.2938917357309441</v>
      </c>
      <c r="AL68" s="111">
        <f t="shared" si="23"/>
        <v>0.33764451170831483</v>
      </c>
      <c r="AM68" s="112">
        <f t="shared" si="62"/>
        <v>0.25241722202942152</v>
      </c>
      <c r="AN68" s="112">
        <f t="shared" si="24"/>
        <v>0.23623966210004083</v>
      </c>
      <c r="AO68" s="112">
        <f t="shared" si="51"/>
        <v>0.24166370975544152</v>
      </c>
      <c r="AP68" s="112">
        <f t="shared" si="25"/>
        <v>0.37969718780493172</v>
      </c>
      <c r="AQ68" s="112">
        <f t="shared" si="26"/>
        <v>7.3318686703133142</v>
      </c>
      <c r="AR68" s="197">
        <v>23</v>
      </c>
      <c r="AS68" s="141">
        <f t="shared" si="27"/>
        <v>7</v>
      </c>
      <c r="AT68" s="378">
        <f t="shared" si="28"/>
        <v>2.3567700019327096</v>
      </c>
      <c r="AU68" s="187">
        <v>1</v>
      </c>
      <c r="AV68" s="187">
        <f t="shared" si="52"/>
        <v>2.3567700019327096</v>
      </c>
      <c r="AW68" s="187">
        <f t="shared" si="29"/>
        <v>58.328658895810442</v>
      </c>
      <c r="AX68" s="188">
        <f t="shared" si="30"/>
        <v>0.75669046679791951</v>
      </c>
      <c r="AY68" s="187">
        <f t="shared" si="69"/>
        <v>0.43074775044302965</v>
      </c>
      <c r="AZ68" s="187">
        <f t="shared" si="31"/>
        <v>0.4251144395615038</v>
      </c>
      <c r="BA68" s="187">
        <f t="shared" si="53"/>
        <v>0.5468245497349753</v>
      </c>
      <c r="BB68" s="187">
        <f t="shared" si="32"/>
        <v>1.2887396951357508</v>
      </c>
      <c r="BC68" s="187">
        <f t="shared" si="33"/>
        <v>7.3176473936526198</v>
      </c>
      <c r="BD68" s="188">
        <f t="shared" si="34"/>
        <v>0.48488610951972139</v>
      </c>
      <c r="BE68" s="187">
        <f t="shared" si="64"/>
        <v>0.32654767689661751</v>
      </c>
      <c r="BF68" s="187">
        <f t="shared" si="35"/>
        <v>0.31366907927868315</v>
      </c>
      <c r="BG68" s="187">
        <f t="shared" si="54"/>
        <v>0.33400421036633116</v>
      </c>
      <c r="BH68" s="198">
        <f t="shared" si="36"/>
        <v>0.78717110351059139</v>
      </c>
      <c r="BI68" s="198">
        <f t="shared" si="55"/>
        <v>10.387705220124769</v>
      </c>
      <c r="BJ68" s="199">
        <v>23</v>
      </c>
      <c r="BK68" s="124">
        <f t="shared" si="37"/>
        <v>7</v>
      </c>
      <c r="BL68" s="382">
        <f t="shared" si="38"/>
        <v>2.3567700019327096</v>
      </c>
      <c r="BM68" s="123">
        <v>1</v>
      </c>
      <c r="BN68" s="123">
        <f t="shared" si="56"/>
        <v>2.3567700019327096</v>
      </c>
      <c r="BO68" s="123">
        <f t="shared" si="57"/>
        <v>59.353165135527114</v>
      </c>
      <c r="BP68" s="122">
        <f t="shared" si="39"/>
        <v>0.75669046679791951</v>
      </c>
      <c r="BQ68" s="123">
        <f t="shared" si="70"/>
        <v>0.43074775044302965</v>
      </c>
      <c r="BR68" s="123">
        <f t="shared" si="40"/>
        <v>0.4251144395615038</v>
      </c>
      <c r="BS68" s="123">
        <f t="shared" si="41"/>
        <v>0.5468245497349753</v>
      </c>
      <c r="BT68" s="123">
        <f t="shared" si="42"/>
        <v>1.2887396951357508</v>
      </c>
      <c r="BU68" s="123">
        <f t="shared" si="58"/>
        <v>10.148999746341804</v>
      </c>
      <c r="BV68" s="122">
        <f t="shared" si="43"/>
        <v>0.48488610791597336</v>
      </c>
      <c r="BW68" s="123">
        <f t="shared" si="66"/>
        <v>0.32654767616925678</v>
      </c>
      <c r="BX68" s="123">
        <f t="shared" si="59"/>
        <v>0.31366907849158476</v>
      </c>
      <c r="BY68" s="123">
        <f t="shared" si="44"/>
        <v>0.33400420952882987</v>
      </c>
      <c r="BZ68" s="200">
        <f t="shared" si="45"/>
        <v>0.78717110153679348</v>
      </c>
      <c r="CA68" s="202">
        <f t="shared" si="60"/>
        <v>14.406927816019717</v>
      </c>
    </row>
    <row r="69" spans="1:81" s="66" customFormat="1" x14ac:dyDescent="0.35">
      <c r="A69" s="190"/>
      <c r="B69" s="191">
        <v>24</v>
      </c>
      <c r="C69" s="239">
        <f t="shared" si="0"/>
        <v>6</v>
      </c>
      <c r="D69" s="192">
        <f t="shared" si="1"/>
        <v>1.5774082375448819</v>
      </c>
      <c r="E69" s="193">
        <v>1</v>
      </c>
      <c r="F69" s="194">
        <f t="shared" si="2"/>
        <v>1.5774082375448819</v>
      </c>
      <c r="G69" s="194">
        <f t="shared" si="3"/>
        <v>21.015608353664071</v>
      </c>
      <c r="H69" s="195">
        <v>24</v>
      </c>
      <c r="I69" s="102">
        <f t="shared" si="4"/>
        <v>6</v>
      </c>
      <c r="J69" s="100">
        <f t="shared" si="5"/>
        <v>1.5774082375448819</v>
      </c>
      <c r="K69" s="100">
        <v>1</v>
      </c>
      <c r="L69" s="101">
        <f t="shared" si="6"/>
        <v>1.5774082375448819</v>
      </c>
      <c r="M69" s="101">
        <f t="shared" si="7"/>
        <v>63.3304136376073</v>
      </c>
      <c r="N69" s="100">
        <f t="shared" si="8"/>
        <v>0.61424854385480909</v>
      </c>
      <c r="O69" s="101">
        <f t="shared" si="46"/>
        <v>0.38051670927203679</v>
      </c>
      <c r="P69" s="101">
        <f t="shared" si="47"/>
        <v>0.37136131208099421</v>
      </c>
      <c r="Q69" s="101">
        <f t="shared" si="67"/>
        <v>0.43457403023789526</v>
      </c>
      <c r="R69" s="101">
        <f>Q69*J69</f>
        <v>0.68550065512033453</v>
      </c>
      <c r="S69" s="101">
        <f t="shared" si="49"/>
        <v>2.8251357396958716</v>
      </c>
      <c r="T69" s="100">
        <f t="shared" si="9"/>
        <v>0.28215336475265423</v>
      </c>
      <c r="U69" s="101">
        <f t="shared" si="10"/>
        <v>0.22006210217066011</v>
      </c>
      <c r="V69" s="101">
        <f t="shared" si="11"/>
        <v>0.20358032366958412</v>
      </c>
      <c r="W69" s="101">
        <f t="shared" si="12"/>
        <v>0.20825451498644315</v>
      </c>
      <c r="X69" s="101">
        <f t="shared" si="13"/>
        <v>0.32850238744552951</v>
      </c>
      <c r="Y69" s="102">
        <f t="shared" si="50"/>
        <v>2.9688907970060381</v>
      </c>
      <c r="Z69" s="196">
        <v>24</v>
      </c>
      <c r="AA69" s="113">
        <f t="shared" si="14"/>
        <v>6</v>
      </c>
      <c r="AB69" s="112">
        <f t="shared" si="15"/>
        <v>1.5774082375448819</v>
      </c>
      <c r="AC69" s="111">
        <v>1</v>
      </c>
      <c r="AD69" s="112">
        <f t="shared" si="16"/>
        <v>1.5774082375448819</v>
      </c>
      <c r="AE69" s="112">
        <f t="shared" si="17"/>
        <v>79.652254539874036</v>
      </c>
      <c r="AF69" s="111">
        <f t="shared" si="18"/>
        <v>0.61424854385480909</v>
      </c>
      <c r="AG69" s="112">
        <f t="shared" si="68"/>
        <v>0.38051670927203679</v>
      </c>
      <c r="AH69" s="112">
        <f t="shared" si="19"/>
        <v>0.37136131208099421</v>
      </c>
      <c r="AI69" s="112">
        <f t="shared" si="20"/>
        <v>0.43457403023789526</v>
      </c>
      <c r="AJ69" s="112">
        <f t="shared" si="21"/>
        <v>0.68550065512033453</v>
      </c>
      <c r="AK69" s="112">
        <f t="shared" si="22"/>
        <v>6.0126466925089872</v>
      </c>
      <c r="AL69" s="111">
        <f t="shared" si="23"/>
        <v>0.28215336475265423</v>
      </c>
      <c r="AM69" s="112">
        <f t="shared" si="62"/>
        <v>0.22006210217066011</v>
      </c>
      <c r="AN69" s="112">
        <f t="shared" si="24"/>
        <v>0.20358032366958412</v>
      </c>
      <c r="AO69" s="112">
        <f t="shared" si="51"/>
        <v>0.20825451498644315</v>
      </c>
      <c r="AP69" s="112">
        <f t="shared" si="25"/>
        <v>0.32850238744552951</v>
      </c>
      <c r="AQ69" s="112">
        <f t="shared" si="26"/>
        <v>6.3182624955380424</v>
      </c>
      <c r="AR69" s="197">
        <v>24</v>
      </c>
      <c r="AS69" s="141">
        <f t="shared" si="27"/>
        <v>6</v>
      </c>
      <c r="AT69" s="378">
        <f t="shared" si="28"/>
        <v>2.366112356317323</v>
      </c>
      <c r="AU69" s="187">
        <v>1</v>
      </c>
      <c r="AV69" s="187">
        <f t="shared" si="52"/>
        <v>2.366112356317323</v>
      </c>
      <c r="AW69" s="187">
        <f t="shared" si="29"/>
        <v>58.328658895810442</v>
      </c>
      <c r="AX69" s="188">
        <f t="shared" si="30"/>
        <v>0.72259688599981964</v>
      </c>
      <c r="AY69" s="187">
        <f t="shared" si="69"/>
        <v>0.41948112867997794</v>
      </c>
      <c r="AZ69" s="187">
        <f t="shared" si="31"/>
        <v>0.41314155322717794</v>
      </c>
      <c r="BA69" s="187">
        <f t="shared" si="53"/>
        <v>0.53142383037679741</v>
      </c>
      <c r="BB69" s="187">
        <f t="shared" si="32"/>
        <v>1.2574084914960215</v>
      </c>
      <c r="BC69" s="187">
        <f t="shared" si="33"/>
        <v>7.1115538049021403</v>
      </c>
      <c r="BD69" s="188">
        <f t="shared" si="34"/>
        <v>0.43018648026299822</v>
      </c>
      <c r="BE69" s="187">
        <f t="shared" si="64"/>
        <v>0.30079048166074879</v>
      </c>
      <c r="BF69" s="187">
        <f t="shared" si="35"/>
        <v>0.286908956255369</v>
      </c>
      <c r="BG69" s="187">
        <f t="shared" si="54"/>
        <v>0.30550923158084858</v>
      </c>
      <c r="BH69" s="198">
        <f t="shared" si="36"/>
        <v>0.72286916781245636</v>
      </c>
      <c r="BI69" s="198">
        <f t="shared" si="55"/>
        <v>9.5014965116996386</v>
      </c>
      <c r="BJ69" s="199">
        <v>24</v>
      </c>
      <c r="BK69" s="124">
        <f t="shared" si="37"/>
        <v>6</v>
      </c>
      <c r="BL69" s="382">
        <f t="shared" si="38"/>
        <v>2.366112356317323</v>
      </c>
      <c r="BM69" s="123">
        <v>1</v>
      </c>
      <c r="BN69" s="123">
        <f t="shared" si="56"/>
        <v>2.366112356317323</v>
      </c>
      <c r="BO69" s="123">
        <f t="shared" si="57"/>
        <v>59.353165135527114</v>
      </c>
      <c r="BP69" s="122">
        <f t="shared" si="39"/>
        <v>0.72259688599981964</v>
      </c>
      <c r="BQ69" s="123">
        <f t="shared" si="70"/>
        <v>0.41948112867997794</v>
      </c>
      <c r="BR69" s="123">
        <f t="shared" si="40"/>
        <v>0.41314155322717794</v>
      </c>
      <c r="BS69" s="123">
        <f t="shared" si="41"/>
        <v>0.53142383037679741</v>
      </c>
      <c r="BT69" s="123">
        <f t="shared" si="42"/>
        <v>1.2574084914960215</v>
      </c>
      <c r="BU69" s="123">
        <f t="shared" si="58"/>
        <v>9.8631641946362674</v>
      </c>
      <c r="BV69" s="122">
        <f t="shared" si="43"/>
        <v>0.43018647853085151</v>
      </c>
      <c r="BW69" s="123">
        <f t="shared" si="66"/>
        <v>0.30079048081391274</v>
      </c>
      <c r="BX69" s="123">
        <f t="shared" si="59"/>
        <v>0.28690895533245253</v>
      </c>
      <c r="BY69" s="123">
        <f t="shared" si="44"/>
        <v>0.30550923059867091</v>
      </c>
      <c r="BZ69" s="200">
        <f t="shared" si="45"/>
        <v>0.72286916548851365</v>
      </c>
      <c r="CA69" s="202">
        <f t="shared" si="60"/>
        <v>13.177826227315435</v>
      </c>
    </row>
    <row r="70" spans="1:81" s="66" customFormat="1" ht="15" thickBot="1" x14ac:dyDescent="0.4">
      <c r="A70" s="190"/>
      <c r="B70" s="227">
        <v>25</v>
      </c>
      <c r="C70" s="240">
        <f t="shared" si="0"/>
        <v>5</v>
      </c>
      <c r="D70" s="228">
        <f t="shared" si="1"/>
        <v>1.5833821879624803</v>
      </c>
      <c r="E70" s="229">
        <v>1</v>
      </c>
      <c r="F70" s="230">
        <f t="shared" si="2"/>
        <v>1.5833821879624803</v>
      </c>
      <c r="G70" s="230">
        <f t="shared" si="3"/>
        <v>21.015608353664071</v>
      </c>
      <c r="H70" s="231">
        <v>25</v>
      </c>
      <c r="I70" s="107">
        <f t="shared" si="4"/>
        <v>5</v>
      </c>
      <c r="J70" s="105">
        <f t="shared" si="5"/>
        <v>1.5833821879624803</v>
      </c>
      <c r="K70" s="105">
        <v>1</v>
      </c>
      <c r="L70" s="106">
        <f t="shared" si="6"/>
        <v>1.5833821879624803</v>
      </c>
      <c r="M70" s="106">
        <f t="shared" si="7"/>
        <v>63.3304136376073</v>
      </c>
      <c r="N70" s="105">
        <f t="shared" si="8"/>
        <v>0.56790416114858577</v>
      </c>
      <c r="O70" s="106">
        <f t="shared" si="46"/>
        <v>0.36220591488995169</v>
      </c>
      <c r="P70" s="106">
        <f t="shared" si="47"/>
        <v>0.35169320312489949</v>
      </c>
      <c r="Q70" s="106">
        <f t="shared" si="67"/>
        <v>0.41155803719243778</v>
      </c>
      <c r="R70" s="106">
        <f t="shared" si="48"/>
        <v>0.65165366540330594</v>
      </c>
      <c r="S70" s="106">
        <f t="shared" si="49"/>
        <v>2.6755103594086087</v>
      </c>
      <c r="T70" s="105">
        <f t="shared" si="9"/>
        <v>0.23016141016415356</v>
      </c>
      <c r="U70" s="106">
        <f t="shared" si="10"/>
        <v>0.18709854516850813</v>
      </c>
      <c r="V70" s="106">
        <f t="shared" si="11"/>
        <v>0.17023212357266371</v>
      </c>
      <c r="W70" s="106">
        <f t="shared" si="12"/>
        <v>0.17414064233081863</v>
      </c>
      <c r="X70" s="106">
        <f t="shared" si="13"/>
        <v>0.27573119126696333</v>
      </c>
      <c r="Y70" s="107">
        <f t="shared" si="50"/>
        <v>2.4825610644472378</v>
      </c>
      <c r="Z70" s="232">
        <v>25</v>
      </c>
      <c r="AA70" s="118">
        <f t="shared" si="14"/>
        <v>5</v>
      </c>
      <c r="AB70" s="117">
        <f t="shared" si="15"/>
        <v>1.5833821879624803</v>
      </c>
      <c r="AC70" s="116">
        <v>1</v>
      </c>
      <c r="AD70" s="117">
        <f t="shared" si="16"/>
        <v>1.5833821879624803</v>
      </c>
      <c r="AE70" s="117">
        <f t="shared" si="17"/>
        <v>79.652254539874036</v>
      </c>
      <c r="AF70" s="116">
        <f t="shared" si="18"/>
        <v>0.56790416114858577</v>
      </c>
      <c r="AG70" s="117">
        <f t="shared" si="68"/>
        <v>0.36220591488995169</v>
      </c>
      <c r="AH70" s="117">
        <f t="shared" si="19"/>
        <v>0.35169320312489949</v>
      </c>
      <c r="AI70" s="117">
        <f t="shared" si="20"/>
        <v>0.41155803719243778</v>
      </c>
      <c r="AJ70" s="117">
        <f t="shared" si="21"/>
        <v>0.65165366540330594</v>
      </c>
      <c r="AK70" s="117">
        <f t="shared" si="22"/>
        <v>5.6942037464732485</v>
      </c>
      <c r="AL70" s="116">
        <f t="shared" si="23"/>
        <v>0.23016141016415356</v>
      </c>
      <c r="AM70" s="117">
        <f t="shared" si="62"/>
        <v>0.18709854516850813</v>
      </c>
      <c r="AN70" s="117">
        <f t="shared" si="24"/>
        <v>0.17023212357266371</v>
      </c>
      <c r="AO70" s="117">
        <f t="shared" si="51"/>
        <v>0.17414064233081863</v>
      </c>
      <c r="AP70" s="117">
        <f t="shared" si="25"/>
        <v>0.27573119126696333</v>
      </c>
      <c r="AQ70" s="117">
        <f t="shared" si="26"/>
        <v>5.2832770010260788</v>
      </c>
      <c r="AR70" s="233">
        <v>25</v>
      </c>
      <c r="AS70" s="183">
        <f t="shared" si="27"/>
        <v>5</v>
      </c>
      <c r="AT70" s="380">
        <f t="shared" si="28"/>
        <v>2.3750732819437208</v>
      </c>
      <c r="AU70" s="189">
        <v>1</v>
      </c>
      <c r="AV70" s="189">
        <f t="shared" si="52"/>
        <v>2.3750732819437208</v>
      </c>
      <c r="AW70" s="189">
        <f t="shared" si="29"/>
        <v>58.328658895810442</v>
      </c>
      <c r="AX70" s="182">
        <f t="shared" si="30"/>
        <v>0.68577770412668582</v>
      </c>
      <c r="AY70" s="189">
        <f t="shared" si="69"/>
        <v>0.40680197777437793</v>
      </c>
      <c r="AZ70" s="189">
        <f t="shared" si="31"/>
        <v>0.39942733071389847</v>
      </c>
      <c r="BA70" s="189">
        <f t="shared" si="53"/>
        <v>0.51378323092191969</v>
      </c>
      <c r="BB70" s="189">
        <f t="shared" si="32"/>
        <v>1.2202728244733723</v>
      </c>
      <c r="BC70" s="189">
        <f t="shared" si="33"/>
        <v>6.8754859716528474</v>
      </c>
      <c r="BD70" s="182">
        <f t="shared" si="34"/>
        <v>0.37556772075900702</v>
      </c>
      <c r="BE70" s="189">
        <f t="shared" si="64"/>
        <v>0.27302743084998921</v>
      </c>
      <c r="BF70" s="189">
        <f t="shared" si="35"/>
        <v>0.25776915369146597</v>
      </c>
      <c r="BG70" s="189">
        <f t="shared" si="54"/>
        <v>0.27448029889813436</v>
      </c>
      <c r="BH70" s="234">
        <f t="shared" si="36"/>
        <v>0.65191082433288539</v>
      </c>
      <c r="BI70" s="234">
        <f t="shared" si="55"/>
        <v>8.5364805148964393</v>
      </c>
      <c r="BJ70" s="235">
        <v>25</v>
      </c>
      <c r="BK70" s="129">
        <f t="shared" si="37"/>
        <v>5</v>
      </c>
      <c r="BL70" s="384">
        <f t="shared" si="38"/>
        <v>2.3750732819437208</v>
      </c>
      <c r="BM70" s="128">
        <v>1</v>
      </c>
      <c r="BN70" s="128">
        <f t="shared" si="56"/>
        <v>2.3750732819437208</v>
      </c>
      <c r="BO70" s="128">
        <f t="shared" si="57"/>
        <v>59.353165135527114</v>
      </c>
      <c r="BP70" s="127">
        <f t="shared" si="39"/>
        <v>0.68577770412668582</v>
      </c>
      <c r="BQ70" s="128">
        <f t="shared" si="70"/>
        <v>0.40680197777437793</v>
      </c>
      <c r="BR70" s="128">
        <f t="shared" si="40"/>
        <v>0.39942733071389847</v>
      </c>
      <c r="BS70" s="128">
        <f t="shared" si="41"/>
        <v>0.51378323092191969</v>
      </c>
      <c r="BT70" s="128">
        <f t="shared" si="42"/>
        <v>1.2202728244733723</v>
      </c>
      <c r="BU70" s="128">
        <f t="shared" si="58"/>
        <v>9.5357567300671597</v>
      </c>
      <c r="BV70" s="127">
        <f t="shared" si="43"/>
        <v>0.37556771886871859</v>
      </c>
      <c r="BW70" s="128">
        <f t="shared" si="66"/>
        <v>0.27302742985099232</v>
      </c>
      <c r="BX70" s="128">
        <f t="shared" si="59"/>
        <v>0.25776915259098254</v>
      </c>
      <c r="BY70" s="128">
        <f t="shared" si="44"/>
        <v>0.27448029772681998</v>
      </c>
      <c r="BZ70" s="236">
        <f t="shared" si="45"/>
        <v>0.65191082155092794</v>
      </c>
      <c r="CA70" s="237">
        <f t="shared" si="60"/>
        <v>11.839425143318643</v>
      </c>
    </row>
    <row r="71" spans="1:81" s="66" customFormat="1" x14ac:dyDescent="0.35">
      <c r="A71" s="190"/>
      <c r="B71" s="206">
        <v>26</v>
      </c>
      <c r="C71" s="191">
        <f t="shared" si="0"/>
        <v>4</v>
      </c>
      <c r="D71" s="207">
        <f t="shared" si="1"/>
        <v>1.589121804521497</v>
      </c>
      <c r="E71" s="208">
        <v>1</v>
      </c>
      <c r="F71" s="209">
        <f t="shared" si="2"/>
        <v>1.589121804521497</v>
      </c>
      <c r="G71" s="209">
        <f t="shared" si="3"/>
        <v>21.015608353664071</v>
      </c>
      <c r="H71" s="210">
        <v>26</v>
      </c>
      <c r="I71" s="168">
        <f t="shared" si="4"/>
        <v>4</v>
      </c>
      <c r="J71" s="212">
        <f t="shared" si="5"/>
        <v>1.589121804521497</v>
      </c>
      <c r="K71" s="211">
        <v>1</v>
      </c>
      <c r="L71" s="212">
        <f t="shared" si="6"/>
        <v>1.589121804521497</v>
      </c>
      <c r="M71" s="168">
        <f t="shared" si="7"/>
        <v>63.3304136376073</v>
      </c>
      <c r="N71" s="211">
        <f t="shared" si="8"/>
        <v>0.51786640633041758</v>
      </c>
      <c r="O71" s="212">
        <f t="shared" si="46"/>
        <v>0.34118049135984735</v>
      </c>
      <c r="P71" s="212">
        <f t="shared" si="47"/>
        <v>0.32856577600763859</v>
      </c>
      <c r="Q71" s="212">
        <f t="shared" si="67"/>
        <v>0.38449388461536693</v>
      </c>
      <c r="R71" s="212">
        <f t="shared" si="48"/>
        <v>0.6110076157474521</v>
      </c>
      <c r="S71" s="212">
        <f t="shared" si="49"/>
        <v>2.4995681737510602</v>
      </c>
      <c r="T71" s="211">
        <f t="shared" si="9"/>
        <v>0.18114751827904355</v>
      </c>
      <c r="U71" s="212">
        <f t="shared" si="10"/>
        <v>0.15336570197681931</v>
      </c>
      <c r="V71" s="212">
        <f t="shared" si="11"/>
        <v>0.13599772230241067</v>
      </c>
      <c r="W71" s="212">
        <f t="shared" si="12"/>
        <v>0.13912022137913999</v>
      </c>
      <c r="X71" s="212">
        <f t="shared" si="13"/>
        <v>0.22107897724344908</v>
      </c>
      <c r="Y71" s="168">
        <f t="shared" si="50"/>
        <v>1.9833075165590468</v>
      </c>
      <c r="Z71" s="213">
        <v>26</v>
      </c>
      <c r="AA71" s="169">
        <f t="shared" si="14"/>
        <v>4</v>
      </c>
      <c r="AB71" s="215">
        <f t="shared" si="15"/>
        <v>1.589121804521497</v>
      </c>
      <c r="AC71" s="214">
        <v>1</v>
      </c>
      <c r="AD71" s="215">
        <f t="shared" si="16"/>
        <v>1.589121804521497</v>
      </c>
      <c r="AE71" s="169">
        <f t="shared" si="17"/>
        <v>79.652254539874036</v>
      </c>
      <c r="AF71" s="214">
        <f t="shared" si="18"/>
        <v>0.51786640633041758</v>
      </c>
      <c r="AG71" s="215">
        <f t="shared" si="68"/>
        <v>0.34118049135984735</v>
      </c>
      <c r="AH71" s="215">
        <f t="shared" si="19"/>
        <v>0.32856577600763859</v>
      </c>
      <c r="AI71" s="215">
        <f t="shared" si="20"/>
        <v>0.38449388461536693</v>
      </c>
      <c r="AJ71" s="215">
        <f t="shared" si="21"/>
        <v>0.6110076157474521</v>
      </c>
      <c r="AK71" s="215">
        <f t="shared" si="22"/>
        <v>5.3197515791658665</v>
      </c>
      <c r="AL71" s="214">
        <f t="shared" si="23"/>
        <v>0.18114751827904355</v>
      </c>
      <c r="AM71" s="215">
        <f t="shared" si="62"/>
        <v>0.15336570197681931</v>
      </c>
      <c r="AN71" s="215">
        <f t="shared" si="24"/>
        <v>0.13599772230241067</v>
      </c>
      <c r="AO71" s="215">
        <f t="shared" si="51"/>
        <v>0.13912022137913999</v>
      </c>
      <c r="AP71" s="215">
        <f t="shared" si="25"/>
        <v>0.22107897724344908</v>
      </c>
      <c r="AQ71" s="215">
        <f t="shared" si="26"/>
        <v>4.2207876125422326</v>
      </c>
      <c r="AR71" s="216">
        <v>26</v>
      </c>
      <c r="AS71" s="217">
        <f t="shared" si="27"/>
        <v>4</v>
      </c>
      <c r="AT71" s="379">
        <f t="shared" si="28"/>
        <v>2.3836827067822459</v>
      </c>
      <c r="AU71" s="218">
        <v>1</v>
      </c>
      <c r="AV71" s="218">
        <f t="shared" si="52"/>
        <v>2.3836827067822459</v>
      </c>
      <c r="AW71" s="218">
        <f t="shared" si="29"/>
        <v>58.328658895810442</v>
      </c>
      <c r="AX71" s="219">
        <f t="shared" si="30"/>
        <v>0.64487937212953517</v>
      </c>
      <c r="AY71" s="218">
        <f t="shared" si="69"/>
        <v>0.39205268365341905</v>
      </c>
      <c r="AZ71" s="218">
        <f t="shared" si="31"/>
        <v>0.38304192616984012</v>
      </c>
      <c r="BA71" s="218">
        <f t="shared" si="53"/>
        <v>0.49270669098770314</v>
      </c>
      <c r="BB71" s="218">
        <f t="shared" si="32"/>
        <v>1.1744564188232918</v>
      </c>
      <c r="BC71" s="218">
        <f t="shared" si="33"/>
        <v>6.593438123597041</v>
      </c>
      <c r="BD71" s="219">
        <f t="shared" si="34"/>
        <v>0.32015096853531178</v>
      </c>
      <c r="BE71" s="218">
        <f t="shared" si="64"/>
        <v>0.24251087653294273</v>
      </c>
      <c r="BF71" s="218">
        <f t="shared" si="35"/>
        <v>0.22525894673051516</v>
      </c>
      <c r="BG71" s="218">
        <f t="shared" si="54"/>
        <v>0.23986245888084984</v>
      </c>
      <c r="BH71" s="220">
        <f t="shared" si="36"/>
        <v>0.57175599524054932</v>
      </c>
      <c r="BI71" s="220">
        <f t="shared" si="55"/>
        <v>7.4598476273571279</v>
      </c>
      <c r="BJ71" s="221">
        <v>26</v>
      </c>
      <c r="BK71" s="222">
        <f t="shared" si="37"/>
        <v>4</v>
      </c>
      <c r="BL71" s="383">
        <f t="shared" si="38"/>
        <v>2.3836827067822459</v>
      </c>
      <c r="BM71" s="223">
        <v>1</v>
      </c>
      <c r="BN71" s="223">
        <f t="shared" si="56"/>
        <v>2.3836827067822459</v>
      </c>
      <c r="BO71" s="223">
        <f t="shared" si="57"/>
        <v>59.353165135527114</v>
      </c>
      <c r="BP71" s="224">
        <f t="shared" si="39"/>
        <v>0.64487937212953517</v>
      </c>
      <c r="BQ71" s="223">
        <f t="shared" si="70"/>
        <v>0.39205268365341905</v>
      </c>
      <c r="BR71" s="223">
        <f t="shared" si="40"/>
        <v>0.38304192616984012</v>
      </c>
      <c r="BS71" s="223">
        <f t="shared" si="41"/>
        <v>0.49270669098770314</v>
      </c>
      <c r="BT71" s="223">
        <f t="shared" si="42"/>
        <v>1.1744564188232918</v>
      </c>
      <c r="BU71" s="223">
        <f t="shared" si="58"/>
        <v>9.1445786116929977</v>
      </c>
      <c r="BV71" s="224">
        <f t="shared" si="43"/>
        <v>0.32015096644052016</v>
      </c>
      <c r="BW71" s="223">
        <f t="shared" si="66"/>
        <v>0.24251087533097274</v>
      </c>
      <c r="BX71" s="223">
        <f t="shared" si="59"/>
        <v>0.22525894538327185</v>
      </c>
      <c r="BY71" s="223">
        <f t="shared" si="44"/>
        <v>0.23986245744671347</v>
      </c>
      <c r="BZ71" s="225">
        <f t="shared" si="45"/>
        <v>0.5717559918220233</v>
      </c>
      <c r="CA71" s="226">
        <f t="shared" si="60"/>
        <v>10.34622023202262</v>
      </c>
    </row>
    <row r="72" spans="1:81" s="66" customFormat="1" x14ac:dyDescent="0.35">
      <c r="A72" s="190"/>
      <c r="B72" s="191">
        <v>27</v>
      </c>
      <c r="C72" s="191">
        <f t="shared" si="0"/>
        <v>3</v>
      </c>
      <c r="D72" s="192">
        <f t="shared" si="1"/>
        <v>1.5946447793482552</v>
      </c>
      <c r="E72" s="193">
        <v>1</v>
      </c>
      <c r="F72" s="194">
        <f t="shared" si="2"/>
        <v>1.5946447793482552</v>
      </c>
      <c r="G72" s="194">
        <f t="shared" si="3"/>
        <v>21.015608353664071</v>
      </c>
      <c r="H72" s="195">
        <v>27</v>
      </c>
      <c r="I72" s="102">
        <f t="shared" si="4"/>
        <v>3</v>
      </c>
      <c r="J72" s="101">
        <f t="shared" si="5"/>
        <v>1.5946447793482552</v>
      </c>
      <c r="K72" s="100">
        <v>1</v>
      </c>
      <c r="L72" s="101">
        <f t="shared" si="6"/>
        <v>1.5946447793482552</v>
      </c>
      <c r="M72" s="102">
        <f t="shared" si="7"/>
        <v>63.3304136376073</v>
      </c>
      <c r="N72" s="100">
        <f t="shared" si="8"/>
        <v>0.46188370814252283</v>
      </c>
      <c r="O72" s="101">
        <f t="shared" si="46"/>
        <v>0.31595106065542977</v>
      </c>
      <c r="P72" s="101">
        <f t="shared" si="47"/>
        <v>0.29966399531645371</v>
      </c>
      <c r="Q72" s="101">
        <f t="shared" si="67"/>
        <v>0.35067247428687082</v>
      </c>
      <c r="R72" s="101">
        <f t="shared" si="48"/>
        <v>0.55919803038269378</v>
      </c>
      <c r="S72" s="101">
        <f t="shared" si="49"/>
        <v>2.2796975224062308</v>
      </c>
      <c r="T72" s="100">
        <f t="shared" si="9"/>
        <v>0.13459694337964512</v>
      </c>
      <c r="U72" s="101">
        <f t="shared" si="10"/>
        <v>0.11862974262800204</v>
      </c>
      <c r="V72" s="101">
        <f t="shared" si="11"/>
        <v>0.10056856966339758</v>
      </c>
      <c r="W72" s="101">
        <f t="shared" si="12"/>
        <v>0.10287761764306644</v>
      </c>
      <c r="X72" s="101">
        <f t="shared" si="13"/>
        <v>0.16405325588630185</v>
      </c>
      <c r="Y72" s="102">
        <f t="shared" si="50"/>
        <v>1.4666304462032376</v>
      </c>
      <c r="Z72" s="196">
        <v>27</v>
      </c>
      <c r="AA72" s="113">
        <f t="shared" si="14"/>
        <v>3</v>
      </c>
      <c r="AB72" s="112">
        <f t="shared" si="15"/>
        <v>1.5946447793482552</v>
      </c>
      <c r="AC72" s="111">
        <v>1</v>
      </c>
      <c r="AD72" s="112">
        <f t="shared" si="16"/>
        <v>1.5946447793482552</v>
      </c>
      <c r="AE72" s="113">
        <f t="shared" si="17"/>
        <v>79.652254539874036</v>
      </c>
      <c r="AF72" s="111">
        <f t="shared" si="18"/>
        <v>0.46188370814252283</v>
      </c>
      <c r="AG72" s="112">
        <f t="shared" si="68"/>
        <v>0.31595106065542977</v>
      </c>
      <c r="AH72" s="112">
        <f t="shared" si="19"/>
        <v>0.29966399531645371</v>
      </c>
      <c r="AI72" s="112">
        <f t="shared" si="20"/>
        <v>0.35067247428687082</v>
      </c>
      <c r="AJ72" s="112">
        <f t="shared" si="21"/>
        <v>0.55919803038269378</v>
      </c>
      <c r="AK72" s="112">
        <f t="shared" si="22"/>
        <v>4.851807853130742</v>
      </c>
      <c r="AL72" s="111">
        <f t="shared" si="23"/>
        <v>0.13459694337964512</v>
      </c>
      <c r="AM72" s="112">
        <f t="shared" si="62"/>
        <v>0.11862974262800204</v>
      </c>
      <c r="AN72" s="112">
        <f t="shared" si="24"/>
        <v>0.10056856966339758</v>
      </c>
      <c r="AO72" s="112">
        <f t="shared" si="51"/>
        <v>0.10287761764306644</v>
      </c>
      <c r="AP72" s="112">
        <f t="shared" si="25"/>
        <v>0.16405325588630185</v>
      </c>
      <c r="AQ72" s="112">
        <f t="shared" si="26"/>
        <v>3.1212182517474036</v>
      </c>
      <c r="AR72" s="197">
        <v>27</v>
      </c>
      <c r="AS72" s="141">
        <f t="shared" si="27"/>
        <v>3</v>
      </c>
      <c r="AT72" s="378">
        <f t="shared" si="28"/>
        <v>2.3919671690223829</v>
      </c>
      <c r="AU72" s="187">
        <v>1</v>
      </c>
      <c r="AV72" s="187">
        <f t="shared" si="52"/>
        <v>2.3919671690223829</v>
      </c>
      <c r="AW72" s="187">
        <f t="shared" si="29"/>
        <v>58.328658895810442</v>
      </c>
      <c r="AX72" s="188">
        <f t="shared" si="30"/>
        <v>0.59752363053168511</v>
      </c>
      <c r="AY72" s="187">
        <f t="shared" si="69"/>
        <v>0.37403116868626118</v>
      </c>
      <c r="AZ72" s="187">
        <f t="shared" si="31"/>
        <v>0.36207524534974267</v>
      </c>
      <c r="BA72" s="187">
        <f t="shared" si="53"/>
        <v>0.4657372570378408</v>
      </c>
      <c r="BB72" s="187">
        <f t="shared" si="32"/>
        <v>1.114028228225054</v>
      </c>
      <c r="BC72" s="187">
        <f t="shared" si="33"/>
        <v>6.2325311230844527</v>
      </c>
      <c r="BD72" s="188">
        <f t="shared" si="34"/>
        <v>0.26263744928810906</v>
      </c>
      <c r="BE72" s="187">
        <f t="shared" si="64"/>
        <v>0.2080070169280876</v>
      </c>
      <c r="BF72" s="187">
        <f t="shared" si="35"/>
        <v>0.18758711916728127</v>
      </c>
      <c r="BG72" s="187">
        <f t="shared" si="54"/>
        <v>0.19974837097888165</v>
      </c>
      <c r="BH72" s="198">
        <f t="shared" si="36"/>
        <v>0.47779154544718827</v>
      </c>
      <c r="BI72" s="198">
        <f t="shared" si="55"/>
        <v>6.2122785627552322</v>
      </c>
      <c r="BJ72" s="199">
        <v>27</v>
      </c>
      <c r="BK72" s="124">
        <f t="shared" si="37"/>
        <v>3</v>
      </c>
      <c r="BL72" s="382">
        <f t="shared" si="38"/>
        <v>2.3919671690223829</v>
      </c>
      <c r="BM72" s="123">
        <v>1</v>
      </c>
      <c r="BN72" s="123">
        <f t="shared" si="56"/>
        <v>2.3919671690223829</v>
      </c>
      <c r="BO72" s="123">
        <f t="shared" si="57"/>
        <v>59.353165135527114</v>
      </c>
      <c r="BP72" s="122">
        <f t="shared" si="39"/>
        <v>0.59752363053168511</v>
      </c>
      <c r="BQ72" s="123">
        <f t="shared" si="70"/>
        <v>0.37403116868626118</v>
      </c>
      <c r="BR72" s="123">
        <f t="shared" si="40"/>
        <v>0.36207524534974267</v>
      </c>
      <c r="BS72" s="123">
        <f t="shared" si="41"/>
        <v>0.4657372570378408</v>
      </c>
      <c r="BT72" s="123">
        <f t="shared" si="42"/>
        <v>1.114028228225054</v>
      </c>
      <c r="BU72" s="123">
        <f t="shared" si="58"/>
        <v>8.6440290689762467</v>
      </c>
      <c r="BV72" s="122">
        <f t="shared" si="43"/>
        <v>0.26263744690865942</v>
      </c>
      <c r="BW72" s="123">
        <f t="shared" si="66"/>
        <v>0.20800701543557096</v>
      </c>
      <c r="BX72" s="123">
        <f t="shared" si="59"/>
        <v>0.18758711743996709</v>
      </c>
      <c r="BY72" s="123">
        <f t="shared" si="44"/>
        <v>0.19974836913995944</v>
      </c>
      <c r="BZ72" s="200">
        <f t="shared" si="45"/>
        <v>0.47779154104854671</v>
      </c>
      <c r="CA72" s="202">
        <f t="shared" si="60"/>
        <v>8.6159403189158308</v>
      </c>
    </row>
    <row r="73" spans="1:81" s="66" customFormat="1" x14ac:dyDescent="0.35">
      <c r="A73" s="190"/>
      <c r="B73" s="191">
        <v>28</v>
      </c>
      <c r="C73" s="191">
        <f t="shared" si="0"/>
        <v>2</v>
      </c>
      <c r="D73" s="192">
        <f t="shared" si="1"/>
        <v>1.5999668736171637</v>
      </c>
      <c r="E73" s="193">
        <v>1</v>
      </c>
      <c r="F73" s="194">
        <f t="shared" si="2"/>
        <v>1.5999668736171637</v>
      </c>
      <c r="G73" s="194">
        <f t="shared" si="3"/>
        <v>21.015608353664071</v>
      </c>
      <c r="H73" s="195">
        <v>28</v>
      </c>
      <c r="I73" s="102">
        <f t="shared" si="4"/>
        <v>2</v>
      </c>
      <c r="J73" s="101">
        <f t="shared" si="5"/>
        <v>1.5999668736171637</v>
      </c>
      <c r="K73" s="100">
        <v>1</v>
      </c>
      <c r="L73" s="101">
        <f t="shared" si="6"/>
        <v>1.5999668736171637</v>
      </c>
      <c r="M73" s="102">
        <f t="shared" si="7"/>
        <v>63.3304136376073</v>
      </c>
      <c r="N73" s="100">
        <f t="shared" si="8"/>
        <v>0.3954337249686527</v>
      </c>
      <c r="O73" s="101">
        <f t="shared" si="46"/>
        <v>0.28337692997747765</v>
      </c>
      <c r="P73" s="101">
        <f t="shared" si="47"/>
        <v>0.2588737574691935</v>
      </c>
      <c r="Q73" s="101">
        <f t="shared" si="67"/>
        <v>0.30293896657085961</v>
      </c>
      <c r="R73" s="101">
        <f t="shared" si="48"/>
        <v>0.48469231124119272</v>
      </c>
      <c r="S73" s="101">
        <f t="shared" si="49"/>
        <v>1.9693852873292059</v>
      </c>
      <c r="T73" s="100">
        <f t="shared" si="9"/>
        <v>8.9927042901409057E-2</v>
      </c>
      <c r="U73" s="101">
        <f t="shared" si="10"/>
        <v>8.2507396698793117E-2</v>
      </c>
      <c r="V73" s="101">
        <f t="shared" si="11"/>
        <v>6.3360798443440752E-2</v>
      </c>
      <c r="W73" s="101">
        <f t="shared" si="12"/>
        <v>6.4815558356261516E-2</v>
      </c>
      <c r="X73" s="101">
        <f t="shared" si="13"/>
        <v>0.10370274626501857</v>
      </c>
      <c r="Y73" s="102">
        <f t="shared" si="50"/>
        <v>0.92401509143386085</v>
      </c>
      <c r="Z73" s="196">
        <v>28</v>
      </c>
      <c r="AA73" s="113">
        <f t="shared" si="14"/>
        <v>2</v>
      </c>
      <c r="AB73" s="112">
        <f t="shared" si="15"/>
        <v>1.5999668736171637</v>
      </c>
      <c r="AC73" s="111">
        <v>1</v>
      </c>
      <c r="AD73" s="112">
        <f t="shared" si="16"/>
        <v>1.5999668736171637</v>
      </c>
      <c r="AE73" s="113">
        <f t="shared" si="17"/>
        <v>79.652254539874036</v>
      </c>
      <c r="AF73" s="111">
        <f t="shared" si="18"/>
        <v>0.3954337249686527</v>
      </c>
      <c r="AG73" s="112">
        <f t="shared" si="68"/>
        <v>0.28337692997747765</v>
      </c>
      <c r="AH73" s="112">
        <f t="shared" si="19"/>
        <v>0.2588737574691935</v>
      </c>
      <c r="AI73" s="112">
        <f t="shared" si="20"/>
        <v>0.30293896657085961</v>
      </c>
      <c r="AJ73" s="112">
        <f t="shared" si="21"/>
        <v>0.48469231124119272</v>
      </c>
      <c r="AK73" s="112">
        <f t="shared" si="22"/>
        <v>4.1913801760939569</v>
      </c>
      <c r="AL73" s="111">
        <f t="shared" si="23"/>
        <v>8.9927042901409057E-2</v>
      </c>
      <c r="AM73" s="112">
        <f t="shared" si="62"/>
        <v>8.2507396698793117E-2</v>
      </c>
      <c r="AN73" s="112">
        <f t="shared" si="24"/>
        <v>6.3360798443440752E-2</v>
      </c>
      <c r="AO73" s="112">
        <f t="shared" si="51"/>
        <v>6.4815558356261516E-2</v>
      </c>
      <c r="AP73" s="112">
        <f t="shared" si="25"/>
        <v>0.10370274626501857</v>
      </c>
      <c r="AQ73" s="112">
        <f t="shared" si="26"/>
        <v>1.9664481776848073</v>
      </c>
      <c r="AR73" s="197">
        <v>28</v>
      </c>
      <c r="AS73" s="141">
        <f t="shared" si="27"/>
        <v>2</v>
      </c>
      <c r="AT73" s="378">
        <f t="shared" si="28"/>
        <v>2.399950310425746</v>
      </c>
      <c r="AU73" s="187">
        <v>1</v>
      </c>
      <c r="AV73" s="187">
        <f t="shared" si="52"/>
        <v>2.399950310425746</v>
      </c>
      <c r="AW73" s="187">
        <f t="shared" si="29"/>
        <v>58.328658895810442</v>
      </c>
      <c r="AX73" s="188">
        <f t="shared" si="30"/>
        <v>0.5387440092815754</v>
      </c>
      <c r="AY73" s="187">
        <f t="shared" si="69"/>
        <v>0.3501193220132241</v>
      </c>
      <c r="AZ73" s="187">
        <f t="shared" si="31"/>
        <v>0.33123026723251831</v>
      </c>
      <c r="BA73" s="187">
        <f t="shared" si="53"/>
        <v>0.42606137285019924</v>
      </c>
      <c r="BB73" s="187">
        <f t="shared" si="32"/>
        <v>1.0225261240322552</v>
      </c>
      <c r="BC73" s="187">
        <f t="shared" si="33"/>
        <v>5.7015854465282851</v>
      </c>
      <c r="BD73" s="188">
        <f t="shared" si="34"/>
        <v>0.20072123204466605</v>
      </c>
      <c r="BE73" s="187">
        <f t="shared" si="64"/>
        <v>0.16716722140647491</v>
      </c>
      <c r="BF73" s="187">
        <f t="shared" si="35"/>
        <v>0.14066069869348144</v>
      </c>
      <c r="BG73" s="187">
        <f t="shared" si="54"/>
        <v>0.14977971595010681</v>
      </c>
      <c r="BH73" s="198">
        <f t="shared" si="36"/>
        <v>0.35946387578993888</v>
      </c>
      <c r="BI73" s="198">
        <f t="shared" si="55"/>
        <v>4.6582273185636662</v>
      </c>
      <c r="BJ73" s="199">
        <v>28</v>
      </c>
      <c r="BK73" s="124">
        <f t="shared" si="37"/>
        <v>2</v>
      </c>
      <c r="BL73" s="382">
        <f t="shared" si="38"/>
        <v>2.399950310425746</v>
      </c>
      <c r="BM73" s="123">
        <v>1</v>
      </c>
      <c r="BN73" s="123">
        <f t="shared" si="56"/>
        <v>2.399950310425746</v>
      </c>
      <c r="BO73" s="123">
        <f t="shared" si="57"/>
        <v>59.353165135527114</v>
      </c>
      <c r="BP73" s="122">
        <f t="shared" si="39"/>
        <v>0.5387440092815754</v>
      </c>
      <c r="BQ73" s="123">
        <f t="shared" si="70"/>
        <v>0.3501193220132241</v>
      </c>
      <c r="BR73" s="123">
        <f t="shared" si="40"/>
        <v>0.33123026723251831</v>
      </c>
      <c r="BS73" s="123">
        <f t="shared" si="41"/>
        <v>0.42606137285019924</v>
      </c>
      <c r="BT73" s="123">
        <f t="shared" si="42"/>
        <v>1.0225261240322552</v>
      </c>
      <c r="BU73" s="123">
        <f t="shared" si="58"/>
        <v>7.9076492946017787</v>
      </c>
      <c r="BV73" s="122">
        <f t="shared" si="43"/>
        <v>0.2007212292158278</v>
      </c>
      <c r="BW73" s="123">
        <f t="shared" si="66"/>
        <v>0.16716721944436319</v>
      </c>
      <c r="BX73" s="123">
        <f t="shared" si="59"/>
        <v>0.14066069623626726</v>
      </c>
      <c r="BY73" s="123">
        <f t="shared" si="44"/>
        <v>0.14977971333387183</v>
      </c>
      <c r="BZ73" s="200">
        <f t="shared" si="45"/>
        <v>0.35946386951110493</v>
      </c>
      <c r="CA73" s="202">
        <f t="shared" si="60"/>
        <v>6.4605937791899573</v>
      </c>
    </row>
    <row r="74" spans="1:81" s="66" customFormat="1" x14ac:dyDescent="0.35">
      <c r="A74" s="190"/>
      <c r="B74" s="191">
        <v>29</v>
      </c>
      <c r="C74" s="191">
        <f t="shared" si="0"/>
        <v>1</v>
      </c>
      <c r="D74" s="192">
        <f t="shared" si="1"/>
        <v>1.605102188711496</v>
      </c>
      <c r="E74" s="193">
        <v>1</v>
      </c>
      <c r="F74" s="194">
        <f t="shared" si="2"/>
        <v>1.605102188711496</v>
      </c>
      <c r="G74" s="194">
        <f t="shared" si="3"/>
        <v>21.015608353664071</v>
      </c>
      <c r="H74" s="195">
        <v>29</v>
      </c>
      <c r="I74" s="102">
        <f t="shared" si="4"/>
        <v>1</v>
      </c>
      <c r="J74" s="101">
        <f t="shared" si="5"/>
        <v>1.605102188711496</v>
      </c>
      <c r="K74" s="100">
        <v>1</v>
      </c>
      <c r="L74" s="101">
        <f t="shared" si="6"/>
        <v>1.605102188711496</v>
      </c>
      <c r="M74" s="102">
        <f t="shared" si="7"/>
        <v>63.3304136376073</v>
      </c>
      <c r="N74" s="100">
        <f t="shared" si="8"/>
        <v>0.30611491716125233</v>
      </c>
      <c r="O74" s="101">
        <f t="shared" si="46"/>
        <v>0.23437058496090935</v>
      </c>
      <c r="P74" s="101">
        <f t="shared" si="47"/>
        <v>0.14540545035385569</v>
      </c>
      <c r="Q74" s="101">
        <f t="shared" si="67"/>
        <v>0.17015620777710305</v>
      </c>
      <c r="R74" s="101">
        <f t="shared" si="48"/>
        <v>0.27311810152587618</v>
      </c>
      <c r="S74" s="101">
        <f t="shared" si="49"/>
        <v>1.1061737482542549</v>
      </c>
      <c r="T74" s="100">
        <f t="shared" si="9"/>
        <v>4.6259528229849495E-2</v>
      </c>
      <c r="U74" s="101">
        <f t="shared" si="10"/>
        <v>4.4214200188088401E-2</v>
      </c>
      <c r="V74" s="101">
        <f t="shared" si="11"/>
        <v>2.2438299663319474E-2</v>
      </c>
      <c r="W74" s="101">
        <f t="shared" si="12"/>
        <v>2.2953481600163198E-2</v>
      </c>
      <c r="X74" s="101">
        <f t="shared" si="13"/>
        <v>3.6842683554971001E-2</v>
      </c>
      <c r="Y74" s="102">
        <f t="shared" si="50"/>
        <v>0.32722642429340898</v>
      </c>
      <c r="Z74" s="196">
        <v>29</v>
      </c>
      <c r="AA74" s="113">
        <f t="shared" si="14"/>
        <v>1</v>
      </c>
      <c r="AB74" s="112">
        <f t="shared" si="15"/>
        <v>1.605102188711496</v>
      </c>
      <c r="AC74" s="111">
        <v>1</v>
      </c>
      <c r="AD74" s="112">
        <f t="shared" si="16"/>
        <v>1.605102188711496</v>
      </c>
      <c r="AE74" s="113">
        <f t="shared" si="17"/>
        <v>79.652254539874036</v>
      </c>
      <c r="AF74" s="111">
        <f t="shared" si="18"/>
        <v>0.30611491716125233</v>
      </c>
      <c r="AG74" s="112">
        <f t="shared" si="68"/>
        <v>0.23437058496090935</v>
      </c>
      <c r="AH74" s="112">
        <f t="shared" si="19"/>
        <v>0.14540545035385569</v>
      </c>
      <c r="AI74" s="112">
        <f t="shared" si="20"/>
        <v>0.17015620777710305</v>
      </c>
      <c r="AJ74" s="112">
        <f t="shared" si="21"/>
        <v>0.27311810152587618</v>
      </c>
      <c r="AK74" s="112">
        <f t="shared" si="22"/>
        <v>2.3542344657383452</v>
      </c>
      <c r="AL74" s="111">
        <f t="shared" si="23"/>
        <v>4.6259528229849495E-2</v>
      </c>
      <c r="AM74" s="112">
        <f t="shared" si="62"/>
        <v>4.4214200188088401E-2</v>
      </c>
      <c r="AN74" s="112">
        <f t="shared" si="24"/>
        <v>2.2438299663319474E-2</v>
      </c>
      <c r="AO74" s="112">
        <f t="shared" si="51"/>
        <v>2.2953481600163198E-2</v>
      </c>
      <c r="AP74" s="112">
        <f t="shared" si="25"/>
        <v>3.6842683554971001E-2</v>
      </c>
      <c r="AQ74" s="112">
        <f t="shared" si="26"/>
        <v>0.69638884874008378</v>
      </c>
      <c r="AR74" s="197">
        <v>29</v>
      </c>
      <c r="AS74" s="141">
        <f t="shared" si="27"/>
        <v>1</v>
      </c>
      <c r="AT74" s="378">
        <f t="shared" si="28"/>
        <v>2.4076532830672441</v>
      </c>
      <c r="AU74" s="187">
        <v>1</v>
      </c>
      <c r="AV74" s="187">
        <f t="shared" si="52"/>
        <v>2.4076532830672441</v>
      </c>
      <c r="AW74" s="187">
        <f t="shared" si="29"/>
        <v>58.328658895810442</v>
      </c>
      <c r="AX74" s="188">
        <f t="shared" si="30"/>
        <v>0.4542095849097621</v>
      </c>
      <c r="AY74" s="187">
        <f t="shared" si="69"/>
        <v>0.31234121245181251</v>
      </c>
      <c r="AZ74" s="187">
        <f>AVERAGE(AY74:AY75)</f>
        <v>0.22249961428593185</v>
      </c>
      <c r="BA74" s="187">
        <f t="shared" si="53"/>
        <v>0.28620117332078504</v>
      </c>
      <c r="BB74" s="187">
        <f t="shared" si="32"/>
        <v>0.68907319456348548</v>
      </c>
      <c r="BC74" s="187">
        <f t="shared" si="33"/>
        <v>3.8299657011123585</v>
      </c>
      <c r="BD74" s="188">
        <f t="shared" si="34"/>
        <v>0.12886460926407614</v>
      </c>
      <c r="BE74" s="187">
        <f t="shared" si="64"/>
        <v>0.11415417598048797</v>
      </c>
      <c r="BF74" s="187">
        <f t="shared" si="35"/>
        <v>6.0849075295725391E-2</v>
      </c>
      <c r="BG74" s="187">
        <f t="shared" si="54"/>
        <v>6.4793913994988378E-2</v>
      </c>
      <c r="BH74" s="198">
        <f t="shared" si="36"/>
        <v>0.15600127975281042</v>
      </c>
      <c r="BI74" s="198">
        <f t="shared" si="55"/>
        <v>2.0151245336094812</v>
      </c>
      <c r="BJ74" s="199">
        <v>29</v>
      </c>
      <c r="BK74" s="124">
        <f t="shared" si="37"/>
        <v>1</v>
      </c>
      <c r="BL74" s="382">
        <f t="shared" si="38"/>
        <v>2.4076532830672441</v>
      </c>
      <c r="BM74" s="123">
        <v>1</v>
      </c>
      <c r="BN74" s="123">
        <f t="shared" si="56"/>
        <v>2.4076532830672441</v>
      </c>
      <c r="BO74" s="123">
        <f t="shared" si="57"/>
        <v>59.353165135527114</v>
      </c>
      <c r="BP74" s="122">
        <f t="shared" si="39"/>
        <v>0.4542095849097621</v>
      </c>
      <c r="BQ74" s="123">
        <f t="shared" si="70"/>
        <v>0.31234121245181251</v>
      </c>
      <c r="BR74" s="123">
        <f t="shared" si="40"/>
        <v>0.22249961428593185</v>
      </c>
      <c r="BS74" s="123">
        <f t="shared" si="41"/>
        <v>0.28620117332078504</v>
      </c>
      <c r="BT74" s="123">
        <f t="shared" si="42"/>
        <v>0.68907319456348548</v>
      </c>
      <c r="BU74" s="123">
        <f t="shared" si="58"/>
        <v>5.3118603340745185</v>
      </c>
      <c r="BV74" s="122">
        <f t="shared" si="43"/>
        <v>0.12886460550183482</v>
      </c>
      <c r="BW74" s="123">
        <f t="shared" si="66"/>
        <v>0.11415417302817134</v>
      </c>
      <c r="BX74" s="123">
        <f t="shared" si="59"/>
        <v>6.0849062369723511E-2</v>
      </c>
      <c r="BY74" s="123">
        <f t="shared" si="44"/>
        <v>6.4793900231116419E-2</v>
      </c>
      <c r="BZ74" s="200">
        <f t="shared" si="45"/>
        <v>0.15600124661417891</v>
      </c>
      <c r="CA74" s="202">
        <f t="shared" si="60"/>
        <v>2.7948181996415924</v>
      </c>
      <c r="CB74" s="201"/>
      <c r="CC74" s="201"/>
    </row>
    <row r="75" spans="1:81" s="66" customFormat="1" ht="15" thickBot="1" x14ac:dyDescent="0.4">
      <c r="A75" s="190"/>
      <c r="B75" s="227">
        <v>29.99</v>
      </c>
      <c r="C75" s="227">
        <f t="shared" si="0"/>
        <v>1.0000000000001563E-2</v>
      </c>
      <c r="D75" s="228">
        <f t="shared" si="1"/>
        <v>1.6100146027760487</v>
      </c>
      <c r="E75" s="229">
        <v>1</v>
      </c>
      <c r="F75" s="230">
        <f t="shared" si="2"/>
        <v>1.6100146027760487</v>
      </c>
      <c r="G75" s="230">
        <f t="shared" si="3"/>
        <v>21.015608353664071</v>
      </c>
      <c r="H75" s="231">
        <v>29.99</v>
      </c>
      <c r="I75" s="107">
        <f t="shared" si="4"/>
        <v>1.0000000000001563E-2</v>
      </c>
      <c r="J75" s="106">
        <f t="shared" si="5"/>
        <v>1.6100146027760487</v>
      </c>
      <c r="K75" s="105">
        <v>1</v>
      </c>
      <c r="L75" s="106">
        <f t="shared" si="6"/>
        <v>1.6100146027760487</v>
      </c>
      <c r="M75" s="107">
        <f t="shared" si="7"/>
        <v>63.3304136376073</v>
      </c>
      <c r="N75" s="105">
        <f t="shared" si="8"/>
        <v>5.9816370589713189E-2</v>
      </c>
      <c r="O75" s="106">
        <f t="shared" si="46"/>
        <v>5.6440315746802049E-2</v>
      </c>
      <c r="P75" s="106">
        <f>AVERAGE(O75:O75)</f>
        <v>5.6440315746802049E-2</v>
      </c>
      <c r="Q75" s="106">
        <f t="shared" si="67"/>
        <v>6.6047524833813709E-2</v>
      </c>
      <c r="R75" s="106">
        <f t="shared" si="48"/>
        <v>0.10633747945965379</v>
      </c>
      <c r="S75" s="106">
        <f t="shared" si="49"/>
        <v>0.4293703947847794</v>
      </c>
      <c r="T75" s="105">
        <f t="shared" si="9"/>
        <v>6.6283820200455069E-4</v>
      </c>
      <c r="U75" s="106">
        <f t="shared" si="10"/>
        <v>6.6239913855054445E-4</v>
      </c>
      <c r="V75" s="106">
        <f>AVERAGE(U75:U75)</f>
        <v>6.6239913855054445E-4</v>
      </c>
      <c r="W75" s="106">
        <f t="shared" si="12"/>
        <v>6.7760778075082423E-4</v>
      </c>
      <c r="X75" s="106">
        <f t="shared" si="13"/>
        <v>1.0909584219634982E-3</v>
      </c>
      <c r="Y75" s="107">
        <f t="shared" si="50"/>
        <v>9.6600234783950148E-3</v>
      </c>
      <c r="Z75" s="232">
        <v>29.99</v>
      </c>
      <c r="AA75" s="118">
        <f t="shared" si="14"/>
        <v>1.0000000000001563E-2</v>
      </c>
      <c r="AB75" s="117">
        <f t="shared" si="15"/>
        <v>1.6100146027760487</v>
      </c>
      <c r="AC75" s="116">
        <v>1</v>
      </c>
      <c r="AD75" s="117">
        <f t="shared" si="16"/>
        <v>1.6100146027760487</v>
      </c>
      <c r="AE75" s="118">
        <f t="shared" si="17"/>
        <v>79.652254539874036</v>
      </c>
      <c r="AF75" s="116">
        <f t="shared" si="18"/>
        <v>5.9816370589713189E-2</v>
      </c>
      <c r="AG75" s="117">
        <f t="shared" si="68"/>
        <v>5.6440315746802049E-2</v>
      </c>
      <c r="AH75" s="117">
        <f>AVERAGE(AG75:AG75)</f>
        <v>5.6440315746802049E-2</v>
      </c>
      <c r="AI75" s="117">
        <f t="shared" si="20"/>
        <v>6.6047524833813709E-2</v>
      </c>
      <c r="AJ75" s="117">
        <f t="shared" si="21"/>
        <v>0.10633747945965379</v>
      </c>
      <c r="AK75" s="117">
        <f t="shared" si="22"/>
        <v>0.91381537806813462</v>
      </c>
      <c r="AL75" s="116">
        <f t="shared" si="23"/>
        <v>6.6283820200455069E-4</v>
      </c>
      <c r="AM75" s="117">
        <f t="shared" si="62"/>
        <v>6.6239913855054445E-4</v>
      </c>
      <c r="AN75" s="117">
        <f>AVERAGE(AM75:AM75)</f>
        <v>6.6239913855054445E-4</v>
      </c>
      <c r="AO75" s="117">
        <f t="shared" si="51"/>
        <v>6.7760778075082423E-4</v>
      </c>
      <c r="AP75" s="117">
        <f t="shared" si="25"/>
        <v>1.0909584219634982E-3</v>
      </c>
      <c r="AQ75" s="117">
        <f t="shared" si="26"/>
        <v>2.0558036055455507E-2</v>
      </c>
      <c r="AR75" s="233">
        <v>29.99</v>
      </c>
      <c r="AS75" s="183">
        <f t="shared" si="27"/>
        <v>1.0000000000001563E-2</v>
      </c>
      <c r="AT75" s="380">
        <f t="shared" si="28"/>
        <v>2.4150219041640733</v>
      </c>
      <c r="AU75" s="189">
        <v>1</v>
      </c>
      <c r="AV75" s="189">
        <f t="shared" si="52"/>
        <v>2.4150219041640733</v>
      </c>
      <c r="AW75" s="189">
        <f t="shared" si="29"/>
        <v>58.328658895810442</v>
      </c>
      <c r="AX75" s="182">
        <f t="shared" si="30"/>
        <v>0.15294776291886811</v>
      </c>
      <c r="AY75" s="189">
        <f>AX75/(1+AX75)</f>
        <v>0.13265801612005115</v>
      </c>
      <c r="AZ75" s="189">
        <f>AVERAGE(AY75:AY75)</f>
        <v>0.13265801612005115</v>
      </c>
      <c r="BA75" s="189">
        <f t="shared" si="53"/>
        <v>0.17063795811877422</v>
      </c>
      <c r="BB75" s="189">
        <f t="shared" si="32"/>
        <v>0.41209440653867152</v>
      </c>
      <c r="BC75" s="189">
        <f t="shared" si="33"/>
        <v>2.2834900336702773</v>
      </c>
      <c r="BD75" s="182">
        <f t="shared" si="34"/>
        <v>7.6013187667490004E-3</v>
      </c>
      <c r="BE75" s="189">
        <f t="shared" si="64"/>
        <v>7.5439746109628109E-3</v>
      </c>
      <c r="BF75" s="189">
        <f>AVERAGE(BE75,BE75)</f>
        <v>7.5439746109628109E-3</v>
      </c>
      <c r="BG75" s="189">
        <f t="shared" si="54"/>
        <v>8.0330496354714277E-3</v>
      </c>
      <c r="BH75" s="234">
        <f t="shared" si="36"/>
        <v>1.939999082690072E-2</v>
      </c>
      <c r="BI75" s="234">
        <f t="shared" si="55"/>
        <v>0.24983203517221134</v>
      </c>
      <c r="BJ75" s="235">
        <v>29.99</v>
      </c>
      <c r="BK75" s="129">
        <f t="shared" si="37"/>
        <v>1.0000000000001563E-2</v>
      </c>
      <c r="BL75" s="384">
        <f t="shared" si="38"/>
        <v>2.4150219041640733</v>
      </c>
      <c r="BM75" s="128">
        <v>1</v>
      </c>
      <c r="BN75" s="128">
        <f t="shared" si="56"/>
        <v>2.4150219041640733</v>
      </c>
      <c r="BO75" s="128">
        <f t="shared" si="57"/>
        <v>59.353165135527114</v>
      </c>
      <c r="BP75" s="127">
        <f t="shared" si="39"/>
        <v>0.15294776291886811</v>
      </c>
      <c r="BQ75" s="128">
        <f t="shared" si="70"/>
        <v>0.13265801612005115</v>
      </c>
      <c r="BR75" s="128">
        <f>AVERAGE(BQ75:BQ75)</f>
        <v>0.13265801612005115</v>
      </c>
      <c r="BS75" s="128">
        <f t="shared" si="41"/>
        <v>0.17063795811877422</v>
      </c>
      <c r="BT75" s="128">
        <f t="shared" si="42"/>
        <v>0.41209440653867152</v>
      </c>
      <c r="BU75" s="128">
        <f t="shared" si="58"/>
        <v>3.1670205635483293</v>
      </c>
      <c r="BV75" s="127">
        <f t="shared" si="43"/>
        <v>7.6012955176036215E-3</v>
      </c>
      <c r="BW75" s="128">
        <f t="shared" si="66"/>
        <v>7.5439517112756826E-3</v>
      </c>
      <c r="BX75" s="128">
        <f>AVERAGE(BW75,BW75)</f>
        <v>7.5439517112756826E-3</v>
      </c>
      <c r="BY75" s="128">
        <f t="shared" si="44"/>
        <v>8.0330252512151833E-3</v>
      </c>
      <c r="BZ75" s="236">
        <f t="shared" si="45"/>
        <v>1.9399931938387776E-2</v>
      </c>
      <c r="CA75" s="237">
        <f t="shared" si="60"/>
        <v>0.34649627650435755</v>
      </c>
      <c r="CB75" s="201"/>
      <c r="CC75" s="201"/>
    </row>
    <row r="76" spans="1:81" ht="87" x14ac:dyDescent="0.35">
      <c r="B76" s="95" t="s">
        <v>142</v>
      </c>
      <c r="C76" s="204">
        <v>0</v>
      </c>
      <c r="G76" s="12"/>
      <c r="H76" s="98" t="s">
        <v>142</v>
      </c>
      <c r="I76" s="242">
        <f>AVERAGE(S71:S75)</f>
        <v>1.656839025305106</v>
      </c>
      <c r="M76" s="12"/>
      <c r="N76" s="172"/>
      <c r="Z76" s="114" t="s">
        <v>142</v>
      </c>
      <c r="AA76" s="250">
        <f>AVERAGE(AK71:AK75)</f>
        <v>3.5261978904394082</v>
      </c>
      <c r="AR76" s="185" t="s">
        <v>142</v>
      </c>
      <c r="AS76" s="244">
        <f>AVERAGE(BC71:BC75)</f>
        <v>4.9282020855984827</v>
      </c>
      <c r="AW76" s="12"/>
      <c r="AX76" s="172"/>
      <c r="AY76" s="12"/>
      <c r="BI76" s="12"/>
      <c r="BJ76" s="125" t="s">
        <v>142</v>
      </c>
      <c r="BK76" s="247">
        <f>AVERAGE(BU71:BU75)</f>
        <v>6.8350275745787741</v>
      </c>
      <c r="BO76" s="12"/>
      <c r="BP76" s="172"/>
      <c r="BQ76" s="12"/>
      <c r="CA76" s="12"/>
    </row>
    <row r="77" spans="1:81" ht="87" x14ac:dyDescent="0.35">
      <c r="B77" s="96" t="s">
        <v>143</v>
      </c>
      <c r="C77" s="205">
        <v>0</v>
      </c>
      <c r="G77" s="12"/>
      <c r="H77" s="98" t="s">
        <v>143</v>
      </c>
      <c r="I77" s="242">
        <f>AVERAGE(Y71:Y75)</f>
        <v>0.94216790039359</v>
      </c>
      <c r="M77" s="12"/>
      <c r="N77" s="12"/>
      <c r="O77" s="12"/>
      <c r="Z77" s="109" t="s">
        <v>143</v>
      </c>
      <c r="AA77" s="251">
        <f>AVERAGE(AQ71:AQ75)</f>
        <v>2.0050801853539961</v>
      </c>
      <c r="AR77" s="181" t="s">
        <v>143</v>
      </c>
      <c r="AS77" s="245">
        <f>AVERAGE(BI71:BI75)</f>
        <v>4.1190620154915436</v>
      </c>
      <c r="AW77" s="12"/>
      <c r="AX77" s="12"/>
      <c r="AY77" s="12"/>
      <c r="BJ77" s="121" t="s">
        <v>143</v>
      </c>
      <c r="BK77" s="248">
        <f>AVERAGE(CA71:CA75)</f>
        <v>5.7128137612548713</v>
      </c>
      <c r="BO77" s="12"/>
      <c r="BP77" s="12"/>
      <c r="BQ77" s="12"/>
    </row>
    <row r="78" spans="1:81" ht="58" x14ac:dyDescent="0.35">
      <c r="B78" s="96" t="s">
        <v>144</v>
      </c>
      <c r="C78" s="205">
        <f>C76+C77</f>
        <v>0</v>
      </c>
      <c r="G78" s="12"/>
      <c r="H78" s="98" t="s">
        <v>144</v>
      </c>
      <c r="I78" s="242">
        <f>I76+I77</f>
        <v>2.5990069256986961</v>
      </c>
      <c r="M78" s="12"/>
      <c r="N78" s="173"/>
      <c r="O78" s="12"/>
      <c r="Z78" s="109" t="s">
        <v>144</v>
      </c>
      <c r="AA78" s="251">
        <f>AA76+AA77</f>
        <v>5.5312780757934039</v>
      </c>
      <c r="AR78" s="181" t="s">
        <v>144</v>
      </c>
      <c r="AS78" s="245">
        <f>AS76+AS77</f>
        <v>9.0472641010900254</v>
      </c>
      <c r="AW78" s="12"/>
      <c r="AX78" s="173"/>
      <c r="AY78" s="12"/>
      <c r="BJ78" s="121" t="s">
        <v>144</v>
      </c>
      <c r="BK78" s="248">
        <f>BK76+BK77</f>
        <v>12.547841335833645</v>
      </c>
      <c r="BO78" s="12"/>
      <c r="BP78" s="173"/>
      <c r="BQ78" s="12"/>
    </row>
    <row r="79" spans="1:81" ht="58.5" thickBot="1" x14ac:dyDescent="0.4">
      <c r="B79" s="119" t="s">
        <v>145</v>
      </c>
      <c r="C79" s="241">
        <f>AVERAGE(G71:G75)</f>
        <v>21.015608353664071</v>
      </c>
      <c r="G79" s="54"/>
      <c r="H79" s="104" t="s">
        <v>145</v>
      </c>
      <c r="I79" s="243">
        <f>AVERAGE(M71:M75)</f>
        <v>63.330413637607293</v>
      </c>
      <c r="M79" s="12"/>
      <c r="N79" s="12"/>
      <c r="O79" s="12"/>
      <c r="Z79" s="115" t="s">
        <v>145</v>
      </c>
      <c r="AA79" s="252">
        <f>AVERAGE(AE71:AE75)</f>
        <v>79.652254539874036</v>
      </c>
      <c r="AR79" s="184" t="s">
        <v>145</v>
      </c>
      <c r="AS79" s="246">
        <f>AVERAGE(AW71:AW75)</f>
        <v>58.328658895810442</v>
      </c>
      <c r="AW79" s="12"/>
      <c r="AX79" s="12"/>
      <c r="AY79" s="12"/>
      <c r="BJ79" s="126" t="s">
        <v>145</v>
      </c>
      <c r="BK79" s="249">
        <f>AVERAGE(BO71:BO75)</f>
        <v>59.353165135527114</v>
      </c>
      <c r="BO79" s="12"/>
      <c r="BP79" s="12"/>
      <c r="BQ79" s="12"/>
    </row>
    <row r="80" spans="1:81" x14ac:dyDescent="0.35">
      <c r="A80" s="18"/>
    </row>
    <row r="81" spans="1:8" x14ac:dyDescent="0.35">
      <c r="A81" s="18"/>
    </row>
    <row r="82" spans="1:8" x14ac:dyDescent="0.35">
      <c r="A82" s="18"/>
    </row>
    <row r="95" spans="1:8" ht="15" thickBot="1" x14ac:dyDescent="0.4">
      <c r="B95" s="18" t="s">
        <v>113</v>
      </c>
      <c r="C95" s="142"/>
      <c r="D95" s="142"/>
      <c r="E95" s="142"/>
      <c r="F95" s="142"/>
      <c r="G95" s="29"/>
      <c r="H95" s="85"/>
    </row>
    <row r="96" spans="1:8" ht="29" x14ac:dyDescent="0.35">
      <c r="A96" s="424" t="s">
        <v>183</v>
      </c>
      <c r="B96" s="87" t="s">
        <v>101</v>
      </c>
      <c r="C96" s="261" t="str">
        <f>B19</f>
        <v>&lt;15000 m^3/s</v>
      </c>
      <c r="D96" s="260" t="str">
        <f>B20</f>
        <v>15000-20000 m^3/s</v>
      </c>
      <c r="E96" s="260" t="str">
        <f>B21</f>
        <v>20000-25000 m^3/s</v>
      </c>
      <c r="F96" s="261" t="str">
        <f>B22</f>
        <v>25000-30000 m^3/s</v>
      </c>
      <c r="G96" s="262" t="str">
        <f>B23</f>
        <v>&gt;30000 m^3/s</v>
      </c>
      <c r="H96" s="259"/>
    </row>
    <row r="97" spans="1:11" x14ac:dyDescent="0.35">
      <c r="A97" s="425"/>
      <c r="B97" s="203" t="s">
        <v>126</v>
      </c>
      <c r="C97" s="371">
        <v>9657.9291088240534</v>
      </c>
      <c r="D97" s="371">
        <v>17417.012978419883</v>
      </c>
      <c r="E97" s="371">
        <v>22448.646821514943</v>
      </c>
      <c r="F97" s="371">
        <v>27045.41440254834</v>
      </c>
      <c r="G97" s="372">
        <v>30959.395456395763</v>
      </c>
      <c r="H97" s="85"/>
    </row>
    <row r="98" spans="1:11" x14ac:dyDescent="0.35">
      <c r="A98" s="425"/>
      <c r="B98" s="203" t="s">
        <v>131</v>
      </c>
      <c r="C98" s="37">
        <v>5116</v>
      </c>
      <c r="D98" s="37">
        <v>1302</v>
      </c>
      <c r="E98" s="37">
        <v>1559</v>
      </c>
      <c r="F98" s="37">
        <v>673</v>
      </c>
      <c r="G98" s="39">
        <v>116</v>
      </c>
      <c r="H98" s="85"/>
    </row>
    <row r="99" spans="1:11" x14ac:dyDescent="0.35">
      <c r="A99" s="425"/>
      <c r="B99" s="203" t="s">
        <v>134</v>
      </c>
      <c r="C99" s="264">
        <f>C97*C98*24*3600</f>
        <v>4269021003712.2695</v>
      </c>
      <c r="D99" s="264">
        <f>D97*D98*24*3600</f>
        <v>1959288557578.7922</v>
      </c>
      <c r="E99" s="264">
        <f>E97*E98*24*3600</f>
        <v>3023778850105.6909</v>
      </c>
      <c r="F99" s="264">
        <f>F97*F98*24*3600</f>
        <v>1572615120347.8589</v>
      </c>
      <c r="G99" s="266">
        <f>G97*G98*24*3600</f>
        <v>310287445022.18091</v>
      </c>
      <c r="H99" s="85"/>
    </row>
    <row r="100" spans="1:11" ht="29.5" thickBot="1" x14ac:dyDescent="0.4">
      <c r="A100" s="425"/>
      <c r="B100" s="203" t="s">
        <v>242</v>
      </c>
      <c r="C100" s="264">
        <f>(C101+C102)*C98</f>
        <v>4983861.5485320473</v>
      </c>
      <c r="D100" s="264">
        <f>(D101+D102)*D98</f>
        <v>4278750.019397988</v>
      </c>
      <c r="E100" s="264">
        <f>(E101+E102)*E98</f>
        <v>7058921.471027337</v>
      </c>
      <c r="F100" s="264">
        <f>(F101+F102)*F98</f>
        <v>3685982.5148368482</v>
      </c>
      <c r="G100" s="266">
        <f>(G101+G102)*G98</f>
        <v>713454.03107288864</v>
      </c>
      <c r="H100" s="85"/>
      <c r="J100" s="65" t="s">
        <v>258</v>
      </c>
    </row>
    <row r="101" spans="1:11" ht="29" x14ac:dyDescent="0.35">
      <c r="A101" s="425"/>
      <c r="B101" s="203" t="s">
        <v>240</v>
      </c>
      <c r="C101" s="263">
        <f>C19*1000/24/3600</f>
        <v>34.0643016159826</v>
      </c>
      <c r="D101" s="263">
        <f>C20*1000/24/3600</f>
        <v>453.28266773424627</v>
      </c>
      <c r="E101" s="263">
        <f>C21*1000/24/3600</f>
        <v>964.70710933604948</v>
      </c>
      <c r="F101" s="263">
        <f>C22*1000/24/3600</f>
        <v>1563.0522724108757</v>
      </c>
      <c r="G101" s="265">
        <f>C23*1000/24/3600</f>
        <v>2167.8302141173131</v>
      </c>
      <c r="H101" s="85"/>
      <c r="I101" s="66">
        <f>SUM(C115:G115)/(SUM(C115:G115)+SUM(C116:G116))</f>
        <v>6.6043764071638103E-2</v>
      </c>
      <c r="J101" s="409" t="s">
        <v>252</v>
      </c>
      <c r="K101" s="410">
        <f>(C106*C99+D106*D99+E106*E99+F106*F99+G106*G99)/(C106*C99+D106*D99+E106*E99+F106*F99+G106*G99+C107*C99+D107*D99+E107*E99+F107*F99+G107*G99)</f>
        <v>6.6043764071638117E-2</v>
      </c>
    </row>
    <row r="102" spans="1:11" ht="58" x14ac:dyDescent="0.35">
      <c r="A102" s="425"/>
      <c r="B102" s="203" t="s">
        <v>241</v>
      </c>
      <c r="C102" s="263">
        <f>D19*1000/24/3600</f>
        <v>940.10722858965607</v>
      </c>
      <c r="D102" s="263">
        <f>D20*1000/24/3600</f>
        <v>2833.0076697450072</v>
      </c>
      <c r="E102" s="263">
        <f>D21*1000/24/3600</f>
        <v>3563.1450208931601</v>
      </c>
      <c r="F102" s="263">
        <f>D22*1000/24/3600</f>
        <v>3913.8905430970708</v>
      </c>
      <c r="G102" s="265">
        <f>D23*1000/24/3600</f>
        <v>3982.6355709937957</v>
      </c>
      <c r="H102" s="85"/>
      <c r="I102" s="66"/>
      <c r="J102" s="411" t="s">
        <v>253</v>
      </c>
      <c r="K102" s="412">
        <f>(C106*C99+D106*D99+E106*E99+F106*F99+G106*G99)/(C106*C99+D106*D99+E106*E99+F106*F99+G106*G99+C107*C99/(1-0.1)+D107*D99/(1-0.1)+E107*E99/(1-0.1)+F107*F99/(1-0.1)+G107*G99/(1-0.1))</f>
        <v>5.9834557605054205E-2</v>
      </c>
    </row>
    <row r="103" spans="1:11" ht="58.5" thickBot="1" x14ac:dyDescent="0.4">
      <c r="A103" s="426"/>
      <c r="B103" s="288" t="s">
        <v>146</v>
      </c>
      <c r="C103" s="274">
        <f>E19</f>
        <v>3.4967457536756327E-2</v>
      </c>
      <c r="D103" s="274">
        <f>E20</f>
        <v>0.13793141237847426</v>
      </c>
      <c r="E103" s="274">
        <f>E21</f>
        <v>0.21306064809303168</v>
      </c>
      <c r="F103" s="274">
        <f>E22</f>
        <v>0.28538772907854693</v>
      </c>
      <c r="G103" s="275">
        <f>E23</f>
        <v>0.35246602287669682</v>
      </c>
      <c r="H103" s="85"/>
      <c r="I103" s="66"/>
      <c r="J103" s="411" t="s">
        <v>254</v>
      </c>
      <c r="K103" s="412">
        <f>(C106*C99+D106*D99+E106*E99+F106*F99+G106*G99)/(C106*C99+D106*D99+E106*E99+F106*F99+G106*G99+C107*C99/(1-0.2)+D107*D99/(1-0.2)+E107*E99/(1-0.2)+F107*F99/(1-0.2)+G107*G99/(1-0.2))</f>
        <v>5.3542237436738402E-2</v>
      </c>
    </row>
    <row r="104" spans="1:11" ht="58" x14ac:dyDescent="0.35">
      <c r="A104" s="427" t="s">
        <v>184</v>
      </c>
      <c r="B104" s="87" t="s">
        <v>114</v>
      </c>
      <c r="C104" s="267">
        <f>J19</f>
        <v>0.06</v>
      </c>
      <c r="D104" s="267">
        <f>J20</f>
        <v>0.06</v>
      </c>
      <c r="E104" s="267">
        <f>J21</f>
        <v>0.06</v>
      </c>
      <c r="F104" s="268">
        <f>J22</f>
        <v>0.09</v>
      </c>
      <c r="G104" s="269">
        <f>J23</f>
        <v>0.09</v>
      </c>
      <c r="H104" s="85"/>
      <c r="I104" s="66"/>
      <c r="J104" s="411" t="s">
        <v>255</v>
      </c>
      <c r="K104" s="412">
        <f>(C106*C99+D106*D99+E106*E99+F106*F99+G106*G99)/(C106*C99+D106*D99+E106*E99+F106*F99+G106*G99+C107*C99/(1-0.3)+D107*D99/(1-0.3)+E107*E99/(1-0.3)+F107*F99/(1-0.3)+G107*G99/(1-0.3))</f>
        <v>4.7165123537543631E-2</v>
      </c>
    </row>
    <row r="105" spans="1:11" ht="58.5" thickBot="1" x14ac:dyDescent="0.4">
      <c r="A105" s="428"/>
      <c r="B105" s="253" t="s">
        <v>128</v>
      </c>
      <c r="C105" s="270">
        <v>5.0000000000000001E-4</v>
      </c>
      <c r="D105" s="270">
        <v>5.0000000000000001E-4</v>
      </c>
      <c r="E105" s="270">
        <v>5.0000000000000001E-4</v>
      </c>
      <c r="F105" s="270">
        <v>5.0000000000000001E-4</v>
      </c>
      <c r="G105" s="271">
        <v>5.0000000000000001E-4</v>
      </c>
      <c r="H105" s="85"/>
      <c r="I105" s="66"/>
      <c r="J105" s="411" t="s">
        <v>256</v>
      </c>
      <c r="K105" s="412">
        <f>(C106*C99+D106*D99+E106*E99+F106*F99+G106*G99)/(C106*C99+D106*D99+E106*E99+F106*F99+G106*G99+C107*C99/(1-0.4)+D107*D99/(1-0.4)+E107*E99/(1-0.4)+F107*F99/(1-0.4)+G107*G99/(1-0.4))</f>
        <v>4.0701490291862798E-2</v>
      </c>
    </row>
    <row r="106" spans="1:11" ht="58.5" thickBot="1" x14ac:dyDescent="0.4">
      <c r="A106" s="429" t="s">
        <v>185</v>
      </c>
      <c r="B106" s="286" t="s">
        <v>181</v>
      </c>
      <c r="C106" s="302">
        <f>C78</f>
        <v>0</v>
      </c>
      <c r="D106" s="302">
        <f>I78</f>
        <v>2.5990069256986961</v>
      </c>
      <c r="E106" s="302">
        <f>AA78</f>
        <v>5.5312780757934039</v>
      </c>
      <c r="F106" s="302">
        <f>AS78</f>
        <v>9.0472641010900254</v>
      </c>
      <c r="G106" s="303">
        <f>BK78</f>
        <v>12.547841335833645</v>
      </c>
      <c r="H106" s="85"/>
      <c r="I106" s="66"/>
      <c r="J106" s="413" t="s">
        <v>257</v>
      </c>
      <c r="K106" s="414">
        <f>(C106*C99+D106*D99+E106*E99+F106*F99+G106*G99)/(C106*C99+D106*D99+E106*E99+F106*F99+G106*G99+C107*C99/(1-0.5)+D107*D99/(1-0.5)+E107*E99/(1-0.5)+F107*F99/(1-0.5)+G107*G99/(1-0.5))</f>
        <v>3.4149564940871034E-2</v>
      </c>
    </row>
    <row r="107" spans="1:11" ht="29" x14ac:dyDescent="0.35">
      <c r="A107" s="430"/>
      <c r="B107" s="287" t="s">
        <v>180</v>
      </c>
      <c r="C107" s="280">
        <f>C79</f>
        <v>21.015608353664071</v>
      </c>
      <c r="D107" s="280">
        <f>I79</f>
        <v>63.330413637607293</v>
      </c>
      <c r="E107" s="280">
        <f>AA79</f>
        <v>79.652254539874036</v>
      </c>
      <c r="F107" s="280">
        <f>AS79</f>
        <v>58.328658895810442</v>
      </c>
      <c r="G107" s="304">
        <f>BK79</f>
        <v>59.353165135527114</v>
      </c>
      <c r="H107" s="85"/>
      <c r="I107" s="315"/>
    </row>
    <row r="108" spans="1:11" x14ac:dyDescent="0.35">
      <c r="A108" s="430"/>
      <c r="B108" s="203" t="s">
        <v>182</v>
      </c>
      <c r="C108" s="272">
        <f>C$106/(C$106+C$107)</f>
        <v>0</v>
      </c>
      <c r="D108" s="272">
        <f>D$106/(D$106+D$107)</f>
        <v>3.942104910816116E-2</v>
      </c>
      <c r="E108" s="272">
        <f>E$106/(E$106+E$107)</f>
        <v>6.4933654498100249E-2</v>
      </c>
      <c r="F108" s="272">
        <f>F$106/(F$106+F$107)</f>
        <v>0.13428037344299137</v>
      </c>
      <c r="G108" s="273">
        <f>G$106/(G$106+G$107)</f>
        <v>0.17451551725957601</v>
      </c>
      <c r="H108" s="85"/>
    </row>
    <row r="109" spans="1:11" x14ac:dyDescent="0.35">
      <c r="A109" s="430"/>
      <c r="B109" s="203" t="s">
        <v>147</v>
      </c>
      <c r="C109" s="272">
        <f t="shared" ref="C109:G113" si="71">C$106/(C$106+C$107/(1-$H109))</f>
        <v>0</v>
      </c>
      <c r="D109" s="272">
        <f t="shared" si="71"/>
        <v>3.5619359449149665E-2</v>
      </c>
      <c r="E109" s="272">
        <f t="shared" si="71"/>
        <v>5.8822243371076291E-2</v>
      </c>
      <c r="F109" s="272">
        <f t="shared" si="71"/>
        <v>0.12249723352503983</v>
      </c>
      <c r="G109" s="273">
        <f t="shared" si="71"/>
        <v>0.15985365994879852</v>
      </c>
      <c r="H109" s="254">
        <v>0.1</v>
      </c>
    </row>
    <row r="110" spans="1:11" x14ac:dyDescent="0.35">
      <c r="A110" s="430"/>
      <c r="B110" s="203" t="s">
        <v>148</v>
      </c>
      <c r="C110" s="272">
        <f t="shared" si="71"/>
        <v>0</v>
      </c>
      <c r="D110" s="272">
        <f t="shared" si="71"/>
        <v>3.1787458277283416E-2</v>
      </c>
      <c r="E110" s="272">
        <f t="shared" si="71"/>
        <v>5.2630420709366535E-2</v>
      </c>
      <c r="F110" s="272">
        <f t="shared" si="71"/>
        <v>0.11038891160936735</v>
      </c>
      <c r="G110" s="273">
        <f t="shared" si="71"/>
        <v>0.14466155088366794</v>
      </c>
      <c r="H110" s="254">
        <v>0.2</v>
      </c>
    </row>
    <row r="111" spans="1:11" x14ac:dyDescent="0.35">
      <c r="A111" s="430"/>
      <c r="B111" s="203" t="s">
        <v>149</v>
      </c>
      <c r="C111" s="272">
        <f t="shared" si="71"/>
        <v>0</v>
      </c>
      <c r="D111" s="272">
        <f t="shared" si="71"/>
        <v>2.7924984025699328E-2</v>
      </c>
      <c r="E111" s="272">
        <f t="shared" si="71"/>
        <v>4.6356588968201669E-2</v>
      </c>
      <c r="F111" s="272">
        <f t="shared" si="71"/>
        <v>9.7941758168867576E-2</v>
      </c>
      <c r="G111" s="273">
        <f t="shared" si="71"/>
        <v>0.12890989519357876</v>
      </c>
      <c r="H111" s="254">
        <v>0.3</v>
      </c>
    </row>
    <row r="112" spans="1:11" x14ac:dyDescent="0.35">
      <c r="A112" s="430"/>
      <c r="B112" s="203" t="s">
        <v>150</v>
      </c>
      <c r="C112" s="272">
        <f t="shared" si="71"/>
        <v>0</v>
      </c>
      <c r="D112" s="272">
        <f t="shared" si="71"/>
        <v>2.4031569334854896E-2</v>
      </c>
      <c r="E112" s="272">
        <f t="shared" si="71"/>
        <v>3.9999108002568548E-2</v>
      </c>
      <c r="F112" s="272">
        <f t="shared" si="71"/>
        <v>8.5141348917000786E-2</v>
      </c>
      <c r="G112" s="273">
        <f t="shared" si="71"/>
        <v>0.11256719958022775</v>
      </c>
      <c r="H112" s="255">
        <v>0.4</v>
      </c>
    </row>
    <row r="113" spans="1:8" ht="15" thickBot="1" x14ac:dyDescent="0.4">
      <c r="A113" s="431"/>
      <c r="B113" s="253" t="s">
        <v>151</v>
      </c>
      <c r="C113" s="274">
        <f t="shared" si="71"/>
        <v>0</v>
      </c>
      <c r="D113" s="274">
        <f t="shared" si="71"/>
        <v>2.0106840936055703E-2</v>
      </c>
      <c r="E113" s="274">
        <f t="shared" si="71"/>
        <v>3.3556293637703856E-2</v>
      </c>
      <c r="F113" s="274">
        <f t="shared" si="71"/>
        <v>7.1972429046475661E-2</v>
      </c>
      <c r="G113" s="275">
        <f t="shared" si="71"/>
        <v>9.5599562148889206E-2</v>
      </c>
      <c r="H113" s="255">
        <v>0.5</v>
      </c>
    </row>
    <row r="115" spans="1:8" x14ac:dyDescent="0.35">
      <c r="B115" s="416" t="s">
        <v>264</v>
      </c>
      <c r="C115" s="417">
        <f>C106*C97*C98</f>
        <v>0</v>
      </c>
      <c r="D115" s="417">
        <f t="shared" ref="D115:F115" si="72">D106*D97*D98</f>
        <v>58937552.437378354</v>
      </c>
      <c r="E115" s="417">
        <f t="shared" si="72"/>
        <v>193580574.76432174</v>
      </c>
      <c r="F115" s="417">
        <f t="shared" si="72"/>
        <v>164674355.59206659</v>
      </c>
      <c r="G115" s="417">
        <f>G106*G97*G98</f>
        <v>45062935.516661242</v>
      </c>
    </row>
    <row r="116" spans="1:8" x14ac:dyDescent="0.35">
      <c r="B116" s="416" t="s">
        <v>265</v>
      </c>
      <c r="C116" s="418">
        <f>C107*C97*C98</f>
        <v>1038380479.9488767</v>
      </c>
      <c r="D116" s="418">
        <f t="shared" ref="D116:G116" si="73">D107*D97*D98</f>
        <v>1436140680.4038873</v>
      </c>
      <c r="E116" s="418">
        <f t="shared" si="73"/>
        <v>2787625030.5660434</v>
      </c>
      <c r="F116" s="418">
        <f t="shared" si="73"/>
        <v>1061672811.6801406</v>
      </c>
      <c r="G116" s="418">
        <f t="shared" si="73"/>
        <v>213154420.87826729</v>
      </c>
    </row>
  </sheetData>
  <mergeCells count="3">
    <mergeCell ref="A96:A103"/>
    <mergeCell ref="A104:A105"/>
    <mergeCell ref="A106:A113"/>
  </mergeCells>
  <pageMargins left="0.7" right="0.7" top="0.75" bottom="0.75" header="0.3" footer="0.3"/>
  <pageSetup orientation="portrait" horizontalDpi="1200" verticalDpi="120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9"/>
  <sheetViews>
    <sheetView zoomScale="70" zoomScaleNormal="70" workbookViewId="0">
      <selection activeCell="I17" sqref="I17"/>
    </sheetView>
  </sheetViews>
  <sheetFormatPr defaultRowHeight="14.5" x14ac:dyDescent="0.35"/>
  <cols>
    <col min="1" max="1" width="9.08984375" style="18"/>
    <col min="2" max="2" width="44.36328125" style="56" bestFit="1" customWidth="1"/>
    <col min="3" max="3" width="14.90625" style="18" bestFit="1" customWidth="1"/>
    <col min="4" max="4" width="16.90625" style="18" customWidth="1"/>
    <col min="5" max="5" width="29.08984375" bestFit="1" customWidth="1"/>
    <col min="6" max="6" width="17.08984375" bestFit="1" customWidth="1"/>
    <col min="7" max="7" width="34.54296875" style="18" bestFit="1" customWidth="1"/>
    <col min="8" max="8" width="10.54296875" style="18" customWidth="1"/>
    <col min="9" max="9" width="18" customWidth="1"/>
    <col min="10" max="10" width="11.36328125" bestFit="1" customWidth="1"/>
    <col min="11" max="11" width="12.6328125" customWidth="1"/>
    <col min="12" max="12" width="10" bestFit="1" customWidth="1"/>
    <col min="13" max="13" width="13.54296875" bestFit="1" customWidth="1"/>
  </cols>
  <sheetData>
    <row r="1" spans="2:11" s="18" customFormat="1" x14ac:dyDescent="0.35">
      <c r="B1" s="56"/>
    </row>
    <row r="2" spans="2:11" s="18" customFormat="1" x14ac:dyDescent="0.35">
      <c r="B2" s="56"/>
    </row>
    <row r="3" spans="2:11" s="18" customFormat="1" x14ac:dyDescent="0.35">
      <c r="B3" s="56"/>
    </row>
    <row r="4" spans="2:11" s="18" customFormat="1" x14ac:dyDescent="0.35">
      <c r="B4" s="56"/>
    </row>
    <row r="5" spans="2:11" s="18" customFormat="1" x14ac:dyDescent="0.35">
      <c r="B5" s="56"/>
    </row>
    <row r="6" spans="2:11" s="18" customFormat="1" x14ac:dyDescent="0.35">
      <c r="B6" s="56"/>
    </row>
    <row r="7" spans="2:11" s="18" customFormat="1" x14ac:dyDescent="0.35">
      <c r="B7" s="56"/>
    </row>
    <row r="8" spans="2:11" s="18" customFormat="1" x14ac:dyDescent="0.35">
      <c r="B8" s="56"/>
    </row>
    <row r="9" spans="2:11" s="18" customFormat="1" x14ac:dyDescent="0.35">
      <c r="B9" s="56"/>
    </row>
    <row r="10" spans="2:11" s="18" customFormat="1" x14ac:dyDescent="0.35">
      <c r="B10" s="56"/>
    </row>
    <row r="11" spans="2:11" s="18" customFormat="1" x14ac:dyDescent="0.35">
      <c r="B11" s="56"/>
    </row>
    <row r="12" spans="2:11" s="18" customFormat="1" x14ac:dyDescent="0.35">
      <c r="B12" s="56"/>
    </row>
    <row r="13" spans="2:11" x14ac:dyDescent="0.35">
      <c r="B13" s="57" t="s">
        <v>65</v>
      </c>
      <c r="E13" s="1"/>
      <c r="F13" s="19"/>
      <c r="G13" s="19"/>
      <c r="H13" s="19"/>
      <c r="I13" s="19"/>
      <c r="J13" s="1"/>
      <c r="K13" s="1"/>
    </row>
    <row r="14" spans="2:11" ht="15" thickBot="1" x14ac:dyDescent="0.4">
      <c r="E14" s="1"/>
      <c r="F14" s="19"/>
      <c r="G14" s="19"/>
      <c r="H14" s="19"/>
      <c r="I14" s="19"/>
      <c r="J14" s="1"/>
      <c r="K14" s="1"/>
    </row>
    <row r="15" spans="2:11" x14ac:dyDescent="0.35">
      <c r="B15" s="59"/>
      <c r="C15" s="30" t="s">
        <v>64</v>
      </c>
      <c r="D15" s="36" t="s">
        <v>115</v>
      </c>
      <c r="E15" s="148" t="s">
        <v>105</v>
      </c>
      <c r="G15" s="19"/>
      <c r="H15" s="19"/>
      <c r="I15" s="19"/>
      <c r="J15" s="1"/>
      <c r="K15" s="1"/>
    </row>
    <row r="16" spans="2:11" x14ac:dyDescent="0.35">
      <c r="B16" s="31" t="s">
        <v>12</v>
      </c>
      <c r="C16" s="32">
        <f>'Sediment Samples'!C13</f>
        <v>23.981260672493477</v>
      </c>
      <c r="D16" s="33">
        <f>2*'Sediment Samples'!C14</f>
        <v>14.628479255332495</v>
      </c>
      <c r="E16" s="15">
        <f>'Sediment Samples'!C15</f>
        <v>53.498101330923291</v>
      </c>
      <c r="G16" s="19"/>
      <c r="H16" s="19"/>
      <c r="I16" s="19"/>
      <c r="J16" s="1"/>
      <c r="K16" s="5"/>
    </row>
    <row r="17" spans="2:11" x14ac:dyDescent="0.35">
      <c r="B17" s="31" t="s">
        <v>4</v>
      </c>
      <c r="C17" s="32">
        <f>'Sediment Samples'!C36</f>
        <v>15.41117655418172</v>
      </c>
      <c r="D17" s="33">
        <f>2*'Sediment Samples'!C37</f>
        <v>18.802903508627239</v>
      </c>
      <c r="E17" s="77">
        <f>'Sediment Samples'!C38</f>
        <v>88.387295088686642</v>
      </c>
      <c r="G17" s="16"/>
      <c r="H17" s="19"/>
      <c r="I17" s="16"/>
      <c r="K17" s="20"/>
    </row>
    <row r="18" spans="2:11" x14ac:dyDescent="0.35">
      <c r="B18" s="31" t="s">
        <v>28</v>
      </c>
      <c r="C18" s="32">
        <f>'Sediment Samples'!C52</f>
        <v>4.5404605768171962</v>
      </c>
      <c r="D18" s="33">
        <f>2*'Sediment Samples'!C53</f>
        <v>3.9607887314660992</v>
      </c>
      <c r="E18" s="77">
        <f>'Sediment Samples'!C54</f>
        <v>3.9219618438272077</v>
      </c>
      <c r="G18" s="16"/>
      <c r="H18" s="19"/>
      <c r="I18" s="16"/>
      <c r="J18" s="1"/>
      <c r="K18" s="20"/>
    </row>
    <row r="19" spans="2:11" x14ac:dyDescent="0.35">
      <c r="B19" s="31" t="s">
        <v>19</v>
      </c>
      <c r="C19" s="32">
        <f>'Sediment Samples'!C70</f>
        <v>0.88522290911992818</v>
      </c>
      <c r="D19" s="33">
        <f>2*'Sediment Samples'!C71</f>
        <v>2.9368104762765204</v>
      </c>
      <c r="E19" s="77">
        <f>'Sediment Samples'!C72</f>
        <v>2.1562139433918808</v>
      </c>
      <c r="G19" s="16"/>
      <c r="H19" s="19"/>
      <c r="I19" s="16"/>
      <c r="J19" s="1"/>
      <c r="K19" s="20"/>
    </row>
    <row r="20" spans="2:11" x14ac:dyDescent="0.35">
      <c r="B20" s="31" t="s">
        <v>58</v>
      </c>
      <c r="C20" s="32">
        <f>'Sediment Samples'!C85</f>
        <v>0.65926977771210193</v>
      </c>
      <c r="D20" s="33">
        <f>2*'Sediment Samples'!C86</f>
        <v>2.9483440769508715</v>
      </c>
      <c r="E20" s="77">
        <f>'Sediment Samples'!C87</f>
        <v>2.1731831990228216</v>
      </c>
      <c r="G20" s="16"/>
      <c r="H20" s="16"/>
      <c r="I20" s="16"/>
      <c r="J20" s="1"/>
      <c r="K20" s="20"/>
    </row>
    <row r="21" spans="2:11" ht="15" thickBot="1" x14ac:dyDescent="0.4">
      <c r="B21" s="34" t="s">
        <v>16</v>
      </c>
      <c r="C21" s="35">
        <f>'Sediment Samples'!C102</f>
        <v>0.50304751534246028</v>
      </c>
      <c r="D21" s="159">
        <f>2*'Sediment Samples'!C103</f>
        <v>1.906951945262692</v>
      </c>
      <c r="E21" s="81">
        <f>'Sediment Samples'!C104</f>
        <v>0.90911643038529133</v>
      </c>
      <c r="G21" s="16"/>
      <c r="H21" s="16"/>
      <c r="I21" s="16"/>
    </row>
    <row r="22" spans="2:11" x14ac:dyDescent="0.35">
      <c r="F22" s="19"/>
      <c r="G22" s="19"/>
      <c r="H22" s="19"/>
      <c r="I22" s="19"/>
    </row>
    <row r="24" spans="2:11" x14ac:dyDescent="0.35">
      <c r="B24" s="57" t="s">
        <v>66</v>
      </c>
      <c r="E24" s="1"/>
    </row>
    <row r="25" spans="2:11" ht="15" thickBot="1" x14ac:dyDescent="0.4">
      <c r="B25" s="58"/>
      <c r="C25" s="18" t="s">
        <v>191</v>
      </c>
      <c r="D25" s="1" t="s">
        <v>190</v>
      </c>
    </row>
    <row r="26" spans="2:11" x14ac:dyDescent="0.35">
      <c r="B26" s="59" t="s">
        <v>53</v>
      </c>
      <c r="C26" s="36"/>
      <c r="D26" s="307">
        <f>SUM(D28:D33)</f>
        <v>2043</v>
      </c>
      <c r="E26" s="30" t="s">
        <v>121</v>
      </c>
      <c r="F26" s="36" t="s">
        <v>120</v>
      </c>
      <c r="G26" s="37"/>
      <c r="H26" s="37"/>
    </row>
    <row r="27" spans="2:11" x14ac:dyDescent="0.35">
      <c r="B27" s="31"/>
      <c r="C27" s="15"/>
      <c r="D27" s="14"/>
      <c r="E27" s="19"/>
      <c r="F27" s="15"/>
      <c r="G27" s="37"/>
      <c r="H27" s="37"/>
    </row>
    <row r="28" spans="2:11" x14ac:dyDescent="0.35">
      <c r="B28" s="31" t="s">
        <v>206</v>
      </c>
      <c r="C28" s="33">
        <f t="shared" ref="C28:C33" si="0">D28/$D$26</f>
        <v>5.9226627508565832E-2</v>
      </c>
      <c r="D28" s="308">
        <f>100+21</f>
        <v>121</v>
      </c>
      <c r="E28" s="32"/>
      <c r="F28" s="33"/>
      <c r="G28" s="32"/>
      <c r="H28" s="32"/>
    </row>
    <row r="29" spans="2:11" s="18" customFormat="1" x14ac:dyDescent="0.35">
      <c r="B29" s="31" t="s">
        <v>4</v>
      </c>
      <c r="C29" s="33">
        <f t="shared" si="0"/>
        <v>0.11062163485070974</v>
      </c>
      <c r="D29" s="308">
        <v>226</v>
      </c>
      <c r="E29" s="32">
        <f>C29^2*E16</f>
        <v>0.65466408190095948</v>
      </c>
      <c r="F29" s="33">
        <f>E29/SUM($E$29:$E$33)</f>
        <v>0.46216359183211247</v>
      </c>
      <c r="G29" s="32">
        <f>SUM(C28:C29)</f>
        <v>0.16984826235927558</v>
      </c>
      <c r="H29" s="32"/>
    </row>
    <row r="30" spans="2:11" x14ac:dyDescent="0.35">
      <c r="B30" s="31" t="s">
        <v>28</v>
      </c>
      <c r="C30" s="33">
        <f t="shared" si="0"/>
        <v>0.31815956926089084</v>
      </c>
      <c r="D30" s="308">
        <v>650</v>
      </c>
      <c r="E30" s="32">
        <f>C30^2*E18</f>
        <v>0.39700259377303665</v>
      </c>
      <c r="F30" s="33">
        <f>E30/SUM($E$29:$E$33)</f>
        <v>0.28026609337117925</v>
      </c>
      <c r="G30" s="32"/>
      <c r="H30" s="32"/>
    </row>
    <row r="31" spans="2:11" x14ac:dyDescent="0.35">
      <c r="B31" s="31" t="s">
        <v>19</v>
      </c>
      <c r="C31" s="33">
        <f t="shared" si="0"/>
        <v>0.40381791483113066</v>
      </c>
      <c r="D31" s="308">
        <v>825</v>
      </c>
      <c r="E31" s="32">
        <f>C31^2*E19</f>
        <v>0.35161145389330056</v>
      </c>
      <c r="F31" s="33">
        <f>E31/SUM($E$29:$E$33)</f>
        <v>0.24822197666439721</v>
      </c>
      <c r="G31" s="32"/>
      <c r="H31" s="32"/>
    </row>
    <row r="32" spans="2:11" x14ac:dyDescent="0.35">
      <c r="B32" s="31" t="s">
        <v>58</v>
      </c>
      <c r="C32" s="33">
        <f t="shared" si="0"/>
        <v>6.5100342633382283E-2</v>
      </c>
      <c r="D32" s="308">
        <v>133</v>
      </c>
      <c r="E32" s="32">
        <f>C32^2*E20</f>
        <v>9.2100690771311309E-3</v>
      </c>
      <c r="F32" s="33">
        <f>E32/SUM($E$29:$E$33)</f>
        <v>6.5018972682126521E-3</v>
      </c>
      <c r="G32" s="32"/>
      <c r="H32" s="32"/>
    </row>
    <row r="33" spans="2:8" s="18" customFormat="1" x14ac:dyDescent="0.35">
      <c r="B33" s="31" t="s">
        <v>16</v>
      </c>
      <c r="C33" s="33">
        <f t="shared" si="0"/>
        <v>4.3073910915320604E-2</v>
      </c>
      <c r="D33" s="308">
        <v>88</v>
      </c>
      <c r="E33" s="32">
        <f>C33^2*E20</f>
        <v>4.0320410952175631E-3</v>
      </c>
      <c r="F33" s="33">
        <f>E33/SUM($E$29:$E$33)</f>
        <v>2.8464408640985232E-3</v>
      </c>
      <c r="G33" s="32"/>
      <c r="H33" s="32"/>
    </row>
    <row r="34" spans="2:8" x14ac:dyDescent="0.35">
      <c r="B34" s="31" t="s">
        <v>52</v>
      </c>
      <c r="C34" s="33">
        <f>SUM(C28:C33)</f>
        <v>1</v>
      </c>
      <c r="D34" s="308"/>
      <c r="E34" s="32"/>
      <c r="F34" s="33"/>
      <c r="G34" s="32"/>
      <c r="H34" s="32"/>
    </row>
    <row r="35" spans="2:8" x14ac:dyDescent="0.35">
      <c r="B35" s="31"/>
      <c r="C35" s="39"/>
      <c r="D35" s="308"/>
      <c r="E35" s="32"/>
      <c r="F35" s="33"/>
      <c r="G35" s="32"/>
      <c r="H35" s="32"/>
    </row>
    <row r="36" spans="2:8" x14ac:dyDescent="0.35">
      <c r="B36" s="60" t="s">
        <v>62</v>
      </c>
      <c r="C36" s="313">
        <f>C37-2*E38</f>
        <v>3.5594691009318247</v>
      </c>
      <c r="D36" s="308"/>
      <c r="E36" s="37"/>
      <c r="F36" s="39"/>
      <c r="G36" s="37"/>
      <c r="H36" s="37"/>
    </row>
    <row r="37" spans="2:8" ht="66.650000000000006" customHeight="1" x14ac:dyDescent="0.35">
      <c r="B37" s="151" t="s">
        <v>110</v>
      </c>
      <c r="C37" s="313">
        <f>C28*$C$16+C29*$C$16+C30*$C$18+C31*$C$19+C32*$C$20+C33*$C$21</f>
        <v>5.9398222173745472</v>
      </c>
      <c r="D37" s="309" t="s">
        <v>111</v>
      </c>
      <c r="E37" s="32">
        <f>SUM(E29:E33)</f>
        <v>1.4165202397396452</v>
      </c>
      <c r="F37" s="33">
        <f>SUM(F29:F33)</f>
        <v>1</v>
      </c>
      <c r="G37" s="37"/>
      <c r="H37" s="37"/>
    </row>
    <row r="38" spans="2:8" ht="49.75" customHeight="1" thickBot="1" x14ac:dyDescent="0.4">
      <c r="B38" s="61" t="s">
        <v>63</v>
      </c>
      <c r="C38" s="156">
        <f>C37+2*E38</f>
        <v>8.3201753338172697</v>
      </c>
      <c r="D38" s="310" t="s">
        <v>112</v>
      </c>
      <c r="E38" s="43">
        <f>SQRT(E37)</f>
        <v>1.1901765582213613</v>
      </c>
      <c r="F38" s="44"/>
      <c r="G38" s="37"/>
      <c r="H38" s="37"/>
    </row>
    <row r="39" spans="2:8" x14ac:dyDescent="0.35">
      <c r="B39" s="59" t="s">
        <v>189</v>
      </c>
      <c r="C39" s="36"/>
      <c r="D39" s="307">
        <f>SUM(D41:D46)</f>
        <v>5760</v>
      </c>
      <c r="E39" s="30"/>
      <c r="F39" s="36"/>
      <c r="G39" s="37"/>
      <c r="H39" s="37"/>
    </row>
    <row r="40" spans="2:8" s="18" customFormat="1" x14ac:dyDescent="0.35">
      <c r="B40" s="14"/>
      <c r="C40" s="15"/>
      <c r="D40" s="14"/>
      <c r="E40" s="19"/>
      <c r="F40" s="15"/>
      <c r="G40" s="37"/>
      <c r="H40" s="37"/>
    </row>
    <row r="41" spans="2:8" s="18" customFormat="1" x14ac:dyDescent="0.35">
      <c r="B41" s="31" t="s">
        <v>206</v>
      </c>
      <c r="C41" s="33">
        <f t="shared" ref="C41:C46" si="1">D41/$D$39</f>
        <v>4.7569444444444442E-2</v>
      </c>
      <c r="D41" s="308">
        <f>222+52</f>
        <v>274</v>
      </c>
      <c r="E41" s="37"/>
      <c r="F41" s="39"/>
      <c r="G41" s="37"/>
      <c r="H41" s="37"/>
    </row>
    <row r="42" spans="2:8" s="18" customFormat="1" x14ac:dyDescent="0.35">
      <c r="B42" s="31" t="s">
        <v>4</v>
      </c>
      <c r="C42" s="33">
        <f t="shared" si="1"/>
        <v>8.4895833333333337E-2</v>
      </c>
      <c r="D42" s="308">
        <v>489</v>
      </c>
      <c r="E42" s="37"/>
      <c r="F42" s="39"/>
      <c r="G42" s="32">
        <f>SUM(C41:C42)</f>
        <v>0.13246527777777778</v>
      </c>
      <c r="H42" s="37"/>
    </row>
    <row r="43" spans="2:8" s="18" customFormat="1" x14ac:dyDescent="0.35">
      <c r="B43" s="31" t="s">
        <v>28</v>
      </c>
      <c r="C43" s="33">
        <f t="shared" si="1"/>
        <v>0.26354166666666667</v>
      </c>
      <c r="D43" s="308">
        <v>1518</v>
      </c>
      <c r="E43" s="37"/>
      <c r="F43" s="39"/>
      <c r="G43" s="37"/>
      <c r="H43" s="37"/>
    </row>
    <row r="44" spans="2:8" s="18" customFormat="1" x14ac:dyDescent="0.35">
      <c r="B44" s="31" t="s">
        <v>19</v>
      </c>
      <c r="C44" s="33">
        <f t="shared" si="1"/>
        <v>0.43854166666666666</v>
      </c>
      <c r="D44" s="308">
        <v>2526</v>
      </c>
      <c r="E44" s="37"/>
      <c r="F44" s="39"/>
      <c r="G44" s="37"/>
      <c r="H44" s="37"/>
    </row>
    <row r="45" spans="2:8" s="18" customFormat="1" x14ac:dyDescent="0.35">
      <c r="B45" s="31" t="s">
        <v>58</v>
      </c>
      <c r="C45" s="33">
        <f t="shared" si="1"/>
        <v>0.10225694444444444</v>
      </c>
      <c r="D45" s="308">
        <v>589</v>
      </c>
      <c r="E45" s="37"/>
      <c r="F45" s="39"/>
      <c r="G45" s="37"/>
      <c r="H45" s="37"/>
    </row>
    <row r="46" spans="2:8" s="18" customFormat="1" x14ac:dyDescent="0.35">
      <c r="B46" s="31" t="s">
        <v>16</v>
      </c>
      <c r="C46" s="33">
        <f t="shared" si="1"/>
        <v>6.3194444444444442E-2</v>
      </c>
      <c r="D46" s="308">
        <v>364</v>
      </c>
      <c r="E46" s="37"/>
      <c r="F46" s="39"/>
      <c r="G46" s="37"/>
      <c r="H46" s="37"/>
    </row>
    <row r="47" spans="2:8" s="18" customFormat="1" x14ac:dyDescent="0.35">
      <c r="B47" s="31" t="s">
        <v>52</v>
      </c>
      <c r="C47" s="33">
        <f>SUM(C41:C46)</f>
        <v>1</v>
      </c>
      <c r="D47" s="308"/>
      <c r="E47" s="37"/>
      <c r="F47" s="39"/>
      <c r="G47" s="37"/>
      <c r="H47" s="37"/>
    </row>
    <row r="48" spans="2:8" s="18" customFormat="1" x14ac:dyDescent="0.35">
      <c r="B48" s="31"/>
      <c r="C48" s="39"/>
      <c r="D48" s="308"/>
      <c r="E48" s="37"/>
      <c r="F48" s="39"/>
      <c r="G48" s="37"/>
      <c r="H48" s="37"/>
    </row>
    <row r="49" spans="2:9" s="18" customFormat="1" x14ac:dyDescent="0.35">
      <c r="B49" s="60" t="s">
        <v>62</v>
      </c>
      <c r="C49" s="313">
        <f>C50-2*E51</f>
        <v>4.8606967555234455</v>
      </c>
      <c r="D49" s="308"/>
      <c r="E49" s="37"/>
      <c r="F49" s="39"/>
      <c r="G49" s="37"/>
      <c r="H49" s="37"/>
    </row>
    <row r="50" spans="2:9" s="18" customFormat="1" ht="43.5" x14ac:dyDescent="0.35">
      <c r="B50" s="151" t="s">
        <v>110</v>
      </c>
      <c r="C50" s="313">
        <f>C41*$C$16+C42*$C$16+C43*$C$18+C44*$C$19+C45*$C$20+C46*$C$21</f>
        <v>4.8606967555234455</v>
      </c>
      <c r="D50" s="309" t="s">
        <v>111</v>
      </c>
      <c r="E50" s="37"/>
      <c r="F50" s="39"/>
      <c r="G50" s="37"/>
      <c r="H50" s="37"/>
    </row>
    <row r="51" spans="2:9" s="18" customFormat="1" ht="44" thickBot="1" x14ac:dyDescent="0.4">
      <c r="B51" s="61" t="s">
        <v>63</v>
      </c>
      <c r="C51" s="156">
        <f>C50+2*E51</f>
        <v>4.8606967555234455</v>
      </c>
      <c r="D51" s="310" t="s">
        <v>112</v>
      </c>
      <c r="E51" s="43"/>
      <c r="F51" s="44"/>
      <c r="G51" s="37"/>
      <c r="H51" s="37"/>
    </row>
    <row r="52" spans="2:9" x14ac:dyDescent="0.35">
      <c r="B52" s="59" t="s">
        <v>54</v>
      </c>
      <c r="C52" s="36"/>
      <c r="D52" s="307">
        <f>D39-D26</f>
        <v>3717</v>
      </c>
      <c r="E52" s="30" t="s">
        <v>121</v>
      </c>
      <c r="F52" s="36" t="s">
        <v>120</v>
      </c>
      <c r="G52" s="37"/>
      <c r="H52" s="37"/>
    </row>
    <row r="53" spans="2:9" x14ac:dyDescent="0.35">
      <c r="B53" s="31"/>
      <c r="C53" s="15"/>
      <c r="D53" s="14"/>
      <c r="E53" s="19"/>
      <c r="F53" s="15"/>
      <c r="G53" s="37"/>
      <c r="H53" s="37"/>
    </row>
    <row r="54" spans="2:9" x14ac:dyDescent="0.35">
      <c r="B54" s="31" t="s">
        <v>206</v>
      </c>
      <c r="C54" s="33">
        <f t="shared" ref="C54:C59" si="2">D54/$D$52</f>
        <v>4.1162227602905568E-2</v>
      </c>
      <c r="D54" s="308">
        <f t="shared" ref="D54:D59" si="3">D41-D28</f>
        <v>153</v>
      </c>
      <c r="E54" s="32"/>
      <c r="F54" s="33"/>
      <c r="G54" s="32"/>
      <c r="H54" s="32"/>
      <c r="I54" s="18"/>
    </row>
    <row r="55" spans="2:9" s="18" customFormat="1" x14ac:dyDescent="0.35">
      <c r="B55" s="31" t="s">
        <v>4</v>
      </c>
      <c r="C55" s="33">
        <f t="shared" si="2"/>
        <v>7.0755986010223301E-2</v>
      </c>
      <c r="D55" s="308">
        <f t="shared" si="3"/>
        <v>263</v>
      </c>
      <c r="E55" s="32">
        <f>C55^2*E16</f>
        <v>0.26783340574591213</v>
      </c>
      <c r="F55" s="33">
        <f>E55/SUM($E$55:$E$59)</f>
        <v>0.2738705644189523</v>
      </c>
      <c r="G55" s="32">
        <f>SUM(C54:C55)</f>
        <v>0.11191821361312887</v>
      </c>
      <c r="H55" s="32"/>
    </row>
    <row r="56" spans="2:9" x14ac:dyDescent="0.35">
      <c r="B56" s="31" t="s">
        <v>28</v>
      </c>
      <c r="C56" s="33">
        <f t="shared" si="2"/>
        <v>0.2335216572504708</v>
      </c>
      <c r="D56" s="308">
        <f t="shared" si="3"/>
        <v>868</v>
      </c>
      <c r="E56" s="32">
        <f>C56^2*E18</f>
        <v>0.21387385245011595</v>
      </c>
      <c r="F56" s="33">
        <f>E56/SUM($E$55:$E$59)</f>
        <v>0.21869472376622301</v>
      </c>
      <c r="G56" s="32"/>
      <c r="H56" s="32"/>
      <c r="I56" s="18"/>
    </row>
    <row r="57" spans="2:9" x14ac:dyDescent="0.35">
      <c r="B57" s="31" t="s">
        <v>19</v>
      </c>
      <c r="C57" s="33">
        <f t="shared" si="2"/>
        <v>0.4576271186440678</v>
      </c>
      <c r="D57" s="308">
        <f t="shared" si="3"/>
        <v>1701</v>
      </c>
      <c r="E57" s="32">
        <f>C57^2*E19</f>
        <v>0.45155988645006639</v>
      </c>
      <c r="F57" s="33">
        <f>E57/SUM($E$55:$E$59)</f>
        <v>0.46173837287630887</v>
      </c>
      <c r="G57" s="32"/>
      <c r="H57" s="32"/>
      <c r="I57" s="18"/>
    </row>
    <row r="58" spans="2:9" x14ac:dyDescent="0.35">
      <c r="B58" s="31" t="s">
        <v>58</v>
      </c>
      <c r="C58" s="33">
        <f t="shared" si="2"/>
        <v>0.12267958030669895</v>
      </c>
      <c r="D58" s="308">
        <f t="shared" si="3"/>
        <v>456</v>
      </c>
      <c r="E58" s="32">
        <f>C58^2*E20</f>
        <v>3.2707014385330718E-2</v>
      </c>
      <c r="F58" s="33">
        <f>E58/SUM($E$55:$E$59)</f>
        <v>3.3444254144559905E-2</v>
      </c>
      <c r="G58" s="32"/>
      <c r="H58" s="32"/>
      <c r="I58" s="18"/>
    </row>
    <row r="59" spans="2:9" s="18" customFormat="1" x14ac:dyDescent="0.35">
      <c r="B59" s="31" t="s">
        <v>16</v>
      </c>
      <c r="C59" s="33">
        <f t="shared" si="2"/>
        <v>7.4253430185633573E-2</v>
      </c>
      <c r="D59" s="308">
        <f t="shared" si="3"/>
        <v>276</v>
      </c>
      <c r="E59" s="32">
        <f>C59^2*E20</f>
        <v>1.1982001807368385E-2</v>
      </c>
      <c r="F59" s="33">
        <f>E59/SUM($E$55:$E$59)</f>
        <v>1.2252084793955809E-2</v>
      </c>
      <c r="G59" s="32"/>
      <c r="H59" s="32"/>
    </row>
    <row r="60" spans="2:9" x14ac:dyDescent="0.35">
      <c r="B60" s="31" t="s">
        <v>52</v>
      </c>
      <c r="C60" s="33">
        <f>SUM(C54:C59)</f>
        <v>0.99999999999999989</v>
      </c>
      <c r="D60" s="308"/>
      <c r="E60" s="40"/>
      <c r="F60" s="41"/>
      <c r="G60" s="53"/>
      <c r="H60" s="53"/>
    </row>
    <row r="61" spans="2:9" x14ac:dyDescent="0.35">
      <c r="B61" s="31"/>
      <c r="C61" s="39"/>
      <c r="D61" s="308"/>
      <c r="E61" s="37"/>
      <c r="F61" s="39"/>
      <c r="G61" s="37"/>
      <c r="H61" s="37"/>
    </row>
    <row r="62" spans="2:9" x14ac:dyDescent="0.35">
      <c r="B62" s="60" t="s">
        <v>62</v>
      </c>
      <c r="C62" s="313">
        <f>C63-2*E64</f>
        <v>2.2897363652745835</v>
      </c>
      <c r="D62" s="38"/>
      <c r="E62" s="37"/>
      <c r="F62" s="39"/>
      <c r="G62" s="37"/>
      <c r="H62" s="37"/>
    </row>
    <row r="63" spans="2:9" ht="51.65" customHeight="1" x14ac:dyDescent="0.35">
      <c r="B63" s="60" t="s">
        <v>109</v>
      </c>
      <c r="C63" s="313">
        <f>C54*$C$16+C55*$C$16+C56*$C$18+C57*$C$19+C58*$C$20+C59*$C$21</f>
        <v>4.267569685692453</v>
      </c>
      <c r="D63" s="152" t="s">
        <v>119</v>
      </c>
      <c r="E63" s="32">
        <f>SUM(E55:E59)</f>
        <v>0.97795616083879366</v>
      </c>
      <c r="F63" s="33">
        <f>SUM(F55:F59)</f>
        <v>0.99999999999999978</v>
      </c>
      <c r="G63" s="37"/>
      <c r="H63" s="37"/>
    </row>
    <row r="64" spans="2:9" ht="44" thickBot="1" x14ac:dyDescent="0.4">
      <c r="B64" s="61" t="s">
        <v>63</v>
      </c>
      <c r="C64" s="156">
        <f>C63+2*E64</f>
        <v>6.2454030061103225</v>
      </c>
      <c r="D64" s="158" t="s">
        <v>112</v>
      </c>
      <c r="E64" s="43">
        <f>SQRT(E63)</f>
        <v>0.98891666020893476</v>
      </c>
      <c r="F64" s="44"/>
      <c r="G64" s="37"/>
      <c r="H64" s="37"/>
    </row>
    <row r="65" spans="2:13" x14ac:dyDescent="0.35">
      <c r="K65" s="19"/>
      <c r="L65" s="19"/>
      <c r="M65" s="19"/>
    </row>
    <row r="66" spans="2:13" x14ac:dyDescent="0.35">
      <c r="K66" s="19"/>
      <c r="L66" s="19"/>
      <c r="M66" s="19"/>
    </row>
    <row r="67" spans="2:13" x14ac:dyDescent="0.35">
      <c r="B67" s="57" t="s">
        <v>67</v>
      </c>
      <c r="K67" s="19"/>
      <c r="L67" s="19"/>
      <c r="M67" s="19"/>
    </row>
    <row r="68" spans="2:13" ht="15" thickBot="1" x14ac:dyDescent="0.4">
      <c r="C68" s="17" t="s">
        <v>49</v>
      </c>
      <c r="D68" s="17"/>
      <c r="K68" s="19"/>
      <c r="L68" s="19"/>
      <c r="M68" s="19"/>
    </row>
    <row r="69" spans="2:13" x14ac:dyDescent="0.35">
      <c r="B69" s="62" t="s">
        <v>50</v>
      </c>
      <c r="C69" s="47">
        <v>25236276</v>
      </c>
      <c r="D69" s="149">
        <f>C69/SUM(C69:C70)</f>
        <v>0.15615080810315077</v>
      </c>
      <c r="E69" s="312"/>
      <c r="F69" t="s">
        <v>207</v>
      </c>
      <c r="K69" s="19"/>
      <c r="L69" s="19"/>
      <c r="M69" s="19"/>
    </row>
    <row r="70" spans="2:13" ht="15" thickBot="1" x14ac:dyDescent="0.4">
      <c r="B70" s="63" t="s">
        <v>51</v>
      </c>
      <c r="C70" s="48">
        <f>161614764-C69</f>
        <v>136378488</v>
      </c>
      <c r="D70" s="150">
        <f>C70/SUM(C69:C70)</f>
        <v>0.84384919189684926</v>
      </c>
      <c r="E70" s="10"/>
      <c r="F70" s="315">
        <f>C69+C70</f>
        <v>161614764</v>
      </c>
      <c r="K70" s="19"/>
      <c r="L70" s="45"/>
      <c r="M70" s="19"/>
    </row>
    <row r="71" spans="2:13" s="18" customFormat="1" x14ac:dyDescent="0.35">
      <c r="B71" s="64"/>
      <c r="C71" s="45"/>
      <c r="D71" s="46"/>
      <c r="E71" s="10"/>
      <c r="K71" s="19"/>
      <c r="L71" s="19"/>
      <c r="M71" s="19"/>
    </row>
    <row r="72" spans="2:13" s="18" customFormat="1" x14ac:dyDescent="0.35">
      <c r="B72" s="64" t="s">
        <v>108</v>
      </c>
      <c r="C72" s="45">
        <f>D69^2*E37+D70^2*E63</f>
        <v>0.73092356858271468</v>
      </c>
      <c r="D72" s="46"/>
      <c r="E72" s="10"/>
      <c r="K72" s="19"/>
      <c r="L72" s="19"/>
      <c r="M72" s="19"/>
    </row>
    <row r="73" spans="2:13" s="18" customFormat="1" ht="15" thickBot="1" x14ac:dyDescent="0.4">
      <c r="B73" s="64" t="s">
        <v>107</v>
      </c>
      <c r="C73" s="45">
        <f>SQRT(C72)</f>
        <v>0.85494068132398204</v>
      </c>
      <c r="D73" s="46">
        <f>C73*2</f>
        <v>1.7098813626479641</v>
      </c>
      <c r="E73" s="10"/>
    </row>
    <row r="74" spans="2:13" x14ac:dyDescent="0.35">
      <c r="B74" s="157"/>
      <c r="C74" s="153" t="s">
        <v>62</v>
      </c>
      <c r="D74" s="153" t="s">
        <v>68</v>
      </c>
      <c r="E74" s="154" t="s">
        <v>63</v>
      </c>
    </row>
    <row r="75" spans="2:13" ht="15" thickBot="1" x14ac:dyDescent="0.4">
      <c r="B75" s="155" t="s">
        <v>106</v>
      </c>
      <c r="C75" s="42">
        <f>D75-2*C73</f>
        <v>2.818811907219188</v>
      </c>
      <c r="D75" s="42">
        <f>(C37*D69+C63*D70)/(D69+D70)</f>
        <v>4.5286932698671523</v>
      </c>
      <c r="E75" s="156">
        <f>D75+2*C73</f>
        <v>6.2385746325151166</v>
      </c>
    </row>
    <row r="77" spans="2:13" x14ac:dyDescent="0.35">
      <c r="D77" s="147"/>
    </row>
    <row r="79" spans="2:13" x14ac:dyDescent="0.35">
      <c r="D79" s="315"/>
    </row>
  </sheetData>
  <pageMargins left="0.7" right="0.7" top="0.75" bottom="0.75" header="0.3" footer="0.3"/>
  <pageSetup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11"/>
  <sheetViews>
    <sheetView zoomScale="70" zoomScaleNormal="70" workbookViewId="0"/>
  </sheetViews>
  <sheetFormatPr defaultRowHeight="14.5" x14ac:dyDescent="0.35"/>
  <cols>
    <col min="1" max="1" width="19.453125" bestFit="1" customWidth="1"/>
    <col min="2" max="2" width="10" bestFit="1" customWidth="1"/>
    <col min="3" max="3" width="8.54296875" bestFit="1" customWidth="1"/>
    <col min="4" max="4" width="10.7265625" bestFit="1" customWidth="1"/>
    <col min="5" max="5" width="8" bestFit="1" customWidth="1"/>
    <col min="6" max="6" width="8.90625" style="145"/>
    <col min="8" max="8" width="16.36328125" bestFit="1" customWidth="1"/>
  </cols>
  <sheetData>
    <row r="1" spans="1:14" s="18" customFormat="1" x14ac:dyDescent="0.35">
      <c r="F1" s="145"/>
    </row>
    <row r="2" spans="1:14" s="18" customFormat="1" x14ac:dyDescent="0.35">
      <c r="F2" s="145"/>
    </row>
    <row r="3" spans="1:14" s="52" customFormat="1" ht="29.5" thickBot="1" x14ac:dyDescent="0.4">
      <c r="A3" s="345" t="s">
        <v>0</v>
      </c>
      <c r="B3" s="345" t="s">
        <v>1</v>
      </c>
      <c r="C3" s="345" t="s">
        <v>227</v>
      </c>
      <c r="D3" s="345" t="s">
        <v>226</v>
      </c>
      <c r="E3" s="345" t="s">
        <v>228</v>
      </c>
      <c r="F3" s="346" t="s">
        <v>102</v>
      </c>
      <c r="I3" s="52" t="s">
        <v>117</v>
      </c>
    </row>
    <row r="4" spans="1:14" x14ac:dyDescent="0.35">
      <c r="A4" s="432" t="s">
        <v>12</v>
      </c>
      <c r="B4" s="432"/>
      <c r="C4" s="432"/>
      <c r="D4" s="432"/>
      <c r="E4" s="432"/>
      <c r="H4" s="65" t="s">
        <v>118</v>
      </c>
      <c r="K4" t="s">
        <v>122</v>
      </c>
      <c r="M4" s="163" t="s">
        <v>123</v>
      </c>
      <c r="N4" s="163" t="s">
        <v>125</v>
      </c>
    </row>
    <row r="5" spans="1:14" x14ac:dyDescent="0.35">
      <c r="A5" s="6" t="s">
        <v>22</v>
      </c>
      <c r="B5" s="7" t="s">
        <v>3</v>
      </c>
      <c r="C5" s="24">
        <v>26.396158130753733</v>
      </c>
      <c r="D5" s="24">
        <v>61.017353826462539</v>
      </c>
      <c r="E5" s="24">
        <v>12.586488042783726</v>
      </c>
      <c r="F5" s="146">
        <v>1</v>
      </c>
      <c r="H5" s="50" t="s">
        <v>55</v>
      </c>
      <c r="I5" s="55">
        <f>AVERAGE(C5:C12,C21:C35)</f>
        <v>18.392075377942334</v>
      </c>
      <c r="K5">
        <v>0</v>
      </c>
      <c r="M5" s="160">
        <v>0</v>
      </c>
      <c r="N5" s="161">
        <v>0</v>
      </c>
    </row>
    <row r="6" spans="1:14" x14ac:dyDescent="0.35">
      <c r="A6" s="6" t="s">
        <v>24</v>
      </c>
      <c r="B6" s="7" t="s">
        <v>3</v>
      </c>
      <c r="C6" s="24">
        <v>31.592070151597309</v>
      </c>
      <c r="D6" s="24">
        <v>59.229401245986274</v>
      </c>
      <c r="E6" s="24">
        <v>9.1785286024164279</v>
      </c>
      <c r="F6" s="146">
        <v>1</v>
      </c>
      <c r="H6" s="50" t="s">
        <v>116</v>
      </c>
      <c r="I6" s="50">
        <f>STDEV(C5:C12,C21:C35)</f>
        <v>9.5229558664961775</v>
      </c>
      <c r="K6">
        <v>5</v>
      </c>
      <c r="M6" s="160">
        <v>5</v>
      </c>
      <c r="N6" s="161">
        <v>0</v>
      </c>
    </row>
    <row r="7" spans="1:14" x14ac:dyDescent="0.35">
      <c r="A7" s="6" t="s">
        <v>23</v>
      </c>
      <c r="B7" s="7" t="s">
        <v>3</v>
      </c>
      <c r="C7" s="24">
        <v>31.127288118775542</v>
      </c>
      <c r="D7" s="24">
        <v>59.798008133232152</v>
      </c>
      <c r="E7" s="24">
        <v>9.0747037479923023</v>
      </c>
      <c r="F7" s="146">
        <v>1</v>
      </c>
      <c r="H7" s="50" t="s">
        <v>104</v>
      </c>
      <c r="I7" s="50">
        <f>_xlfn.VAR.S(C5:C12,C21:C35)</f>
        <v>90.686688435233961</v>
      </c>
      <c r="K7">
        <v>10</v>
      </c>
      <c r="M7" s="160">
        <v>10</v>
      </c>
      <c r="N7" s="161">
        <v>0</v>
      </c>
    </row>
    <row r="8" spans="1:14" x14ac:dyDescent="0.35">
      <c r="A8" s="6" t="s">
        <v>21</v>
      </c>
      <c r="B8" s="7" t="s">
        <v>3</v>
      </c>
      <c r="C8" s="24">
        <v>22.515830291128474</v>
      </c>
      <c r="D8" s="24">
        <v>65.34275628626574</v>
      </c>
      <c r="E8" s="24">
        <v>12.14141342260578</v>
      </c>
      <c r="F8" s="146">
        <v>1</v>
      </c>
      <c r="H8" s="50" t="s">
        <v>57</v>
      </c>
      <c r="I8" s="50"/>
      <c r="K8" s="18">
        <v>15</v>
      </c>
      <c r="M8" s="160">
        <v>15</v>
      </c>
      <c r="N8" s="161">
        <v>1</v>
      </c>
    </row>
    <row r="9" spans="1:14" x14ac:dyDescent="0.35">
      <c r="A9" s="6" t="s">
        <v>15</v>
      </c>
      <c r="B9" s="7" t="s">
        <v>3</v>
      </c>
      <c r="C9" s="24">
        <v>16.55598518166768</v>
      </c>
      <c r="D9" s="24">
        <v>71.794595302629133</v>
      </c>
      <c r="E9" s="24">
        <v>11.649419515703176</v>
      </c>
      <c r="F9" s="146">
        <v>1</v>
      </c>
      <c r="H9" s="50" t="s">
        <v>103</v>
      </c>
      <c r="I9" s="55">
        <f>MEDIAN(C5:C12,C21:C35)</f>
        <v>16.729878954752781</v>
      </c>
      <c r="K9" s="18">
        <v>20</v>
      </c>
      <c r="M9" s="160">
        <v>20</v>
      </c>
      <c r="N9" s="161">
        <v>1</v>
      </c>
    </row>
    <row r="10" spans="1:14" x14ac:dyDescent="0.35">
      <c r="A10" s="4" t="s">
        <v>11</v>
      </c>
      <c r="B10" s="9" t="s">
        <v>3</v>
      </c>
      <c r="C10" s="25">
        <v>11.057252026242196</v>
      </c>
      <c r="D10" s="25">
        <v>77.885495947515608</v>
      </c>
      <c r="E10" s="25">
        <v>11.057252026242196</v>
      </c>
      <c r="F10" s="146">
        <v>1</v>
      </c>
      <c r="K10" s="18">
        <v>25</v>
      </c>
      <c r="M10" s="160">
        <v>25</v>
      </c>
      <c r="N10" s="161">
        <v>2</v>
      </c>
    </row>
    <row r="11" spans="1:14" x14ac:dyDescent="0.35">
      <c r="A11" s="6" t="s">
        <v>14</v>
      </c>
      <c r="B11" s="7" t="s">
        <v>6</v>
      </c>
      <c r="C11" s="24">
        <v>29.808033632940159</v>
      </c>
      <c r="D11" s="24">
        <v>70.565368806909817</v>
      </c>
      <c r="E11" s="24">
        <v>0.13281687088247818</v>
      </c>
      <c r="F11" s="146">
        <v>1</v>
      </c>
      <c r="K11" s="18">
        <v>30</v>
      </c>
      <c r="M11" s="160">
        <v>30</v>
      </c>
      <c r="N11" s="161">
        <v>2</v>
      </c>
    </row>
    <row r="12" spans="1:14" x14ac:dyDescent="0.35">
      <c r="A12" s="6" t="s">
        <v>13</v>
      </c>
      <c r="B12" s="7" t="s">
        <v>6</v>
      </c>
      <c r="C12" s="24">
        <v>22.797467846842721</v>
      </c>
      <c r="D12" s="24">
        <v>72.561966829140047</v>
      </c>
      <c r="E12" s="24">
        <v>4.640284486125446</v>
      </c>
      <c r="F12" s="146">
        <v>1</v>
      </c>
      <c r="K12" s="18">
        <v>35</v>
      </c>
      <c r="M12" s="160">
        <v>35</v>
      </c>
      <c r="N12" s="161">
        <v>2</v>
      </c>
    </row>
    <row r="13" spans="1:14" x14ac:dyDescent="0.35">
      <c r="A13" s="11" t="s">
        <v>55</v>
      </c>
      <c r="B13" s="6"/>
      <c r="C13" s="26">
        <f>AVERAGE(C5:C12)</f>
        <v>23.981260672493477</v>
      </c>
      <c r="D13" s="26">
        <f>AVERAGE(D5:D12)</f>
        <v>67.274368297267671</v>
      </c>
      <c r="E13" s="26">
        <f>AVERAGE(E5:E12)</f>
        <v>8.8076133393439431</v>
      </c>
      <c r="K13" s="18">
        <v>40</v>
      </c>
      <c r="M13" s="160">
        <v>40</v>
      </c>
      <c r="N13" s="161">
        <v>0</v>
      </c>
    </row>
    <row r="14" spans="1:14" x14ac:dyDescent="0.35">
      <c r="A14" s="11" t="s">
        <v>56</v>
      </c>
      <c r="B14" s="6"/>
      <c r="C14" s="26">
        <f>STDEV(C5:C12)</f>
        <v>7.3142396276662476</v>
      </c>
      <c r="D14" s="26">
        <f>STDEV(D5:D12)</f>
        <v>6.9211546929486039</v>
      </c>
      <c r="E14" s="26">
        <f>STDEV(E5:E12)</f>
        <v>4.3319163120775919</v>
      </c>
      <c r="K14" s="18">
        <v>45</v>
      </c>
      <c r="M14" s="160">
        <v>45</v>
      </c>
      <c r="N14" s="161">
        <v>0</v>
      </c>
    </row>
    <row r="15" spans="1:14" s="18" customFormat="1" x14ac:dyDescent="0.35">
      <c r="A15" s="143" t="s">
        <v>104</v>
      </c>
      <c r="B15" s="144"/>
      <c r="C15" s="26">
        <f>_xlfn.VAR.S(C5:C12)</f>
        <v>53.498101330923291</v>
      </c>
      <c r="D15" s="26">
        <f>_xlfn.VAR.S(D5:D12)</f>
        <v>47.902382283724485</v>
      </c>
      <c r="E15" s="26">
        <f>_xlfn.VAR.S(E5:E12)</f>
        <v>18.765498934843922</v>
      </c>
      <c r="F15" s="145"/>
      <c r="K15" s="18">
        <v>50</v>
      </c>
      <c r="M15" s="160">
        <v>50</v>
      </c>
      <c r="N15" s="161">
        <v>0</v>
      </c>
    </row>
    <row r="16" spans="1:14" ht="15" thickBot="1" x14ac:dyDescent="0.4">
      <c r="A16" s="11" t="s">
        <v>57</v>
      </c>
      <c r="B16" s="6"/>
      <c r="C16" s="26">
        <f>C14/(SQRT(COUNT(C5:C12)))</f>
        <v>2.5859742199730857</v>
      </c>
      <c r="D16" s="26">
        <f>D14/(SQRT(COUNT(D5:D12)))</f>
        <v>2.4469977085125274</v>
      </c>
      <c r="E16" s="26">
        <f>E14/(SQRT(COUNT(E5:E12)))</f>
        <v>1.5315636999013427</v>
      </c>
      <c r="M16" s="162" t="s">
        <v>124</v>
      </c>
      <c r="N16" s="162">
        <v>0</v>
      </c>
    </row>
    <row r="17" spans="1:14" s="18" customFormat="1" x14ac:dyDescent="0.35">
      <c r="A17" s="143" t="s">
        <v>103</v>
      </c>
      <c r="B17" s="144"/>
      <c r="C17" s="26">
        <f>MEDIAN(C5:C12)</f>
        <v>24.596812988798227</v>
      </c>
      <c r="D17" s="26">
        <f>MEDIAN(D5:D12)</f>
        <v>67.954062546587778</v>
      </c>
      <c r="E17" s="26">
        <f>MEDIAN(E5:E12)</f>
        <v>10.117890314329312</v>
      </c>
      <c r="F17" s="145"/>
    </row>
    <row r="18" spans="1:14" x14ac:dyDescent="0.35">
      <c r="A18" s="2"/>
      <c r="B18" s="2"/>
      <c r="C18" s="2"/>
      <c r="D18" s="2"/>
      <c r="E18" s="2"/>
    </row>
    <row r="19" spans="1:14" ht="29" x14ac:dyDescent="0.35">
      <c r="A19" s="11" t="s">
        <v>0</v>
      </c>
      <c r="B19" s="11" t="s">
        <v>1</v>
      </c>
      <c r="C19" s="345" t="s">
        <v>227</v>
      </c>
      <c r="D19" s="345" t="s">
        <v>226</v>
      </c>
      <c r="E19" s="345" t="s">
        <v>228</v>
      </c>
    </row>
    <row r="20" spans="1:14" x14ac:dyDescent="0.35">
      <c r="A20" s="432" t="s">
        <v>4</v>
      </c>
      <c r="B20" s="432"/>
      <c r="C20" s="432"/>
      <c r="D20" s="432"/>
      <c r="E20" s="432"/>
    </row>
    <row r="21" spans="1:14" ht="15" thickBot="1" x14ac:dyDescent="0.4">
      <c r="A21" s="6" t="s">
        <v>2</v>
      </c>
      <c r="B21" s="7" t="s">
        <v>3</v>
      </c>
      <c r="C21" s="24">
        <v>4.5680296279683468</v>
      </c>
      <c r="D21" s="24">
        <v>81.006998528699299</v>
      </c>
      <c r="E21" s="24">
        <v>14.424971843332338</v>
      </c>
      <c r="F21" s="145">
        <v>1</v>
      </c>
    </row>
    <row r="22" spans="1:14" x14ac:dyDescent="0.35">
      <c r="A22" s="6" t="s">
        <v>10</v>
      </c>
      <c r="B22" s="7" t="s">
        <v>3</v>
      </c>
      <c r="C22" s="24">
        <v>9.0596568044573171</v>
      </c>
      <c r="D22" s="24">
        <v>76.945793184594052</v>
      </c>
      <c r="E22" s="24">
        <v>13.99455001094864</v>
      </c>
      <c r="F22" s="145">
        <v>1</v>
      </c>
      <c r="M22" s="163" t="s">
        <v>123</v>
      </c>
      <c r="N22" s="163" t="s">
        <v>125</v>
      </c>
    </row>
    <row r="23" spans="1:14" x14ac:dyDescent="0.35">
      <c r="A23" s="6" t="s">
        <v>7</v>
      </c>
      <c r="B23" s="7" t="s">
        <v>3</v>
      </c>
      <c r="C23" s="24">
        <v>7.5391391977884963</v>
      </c>
      <c r="D23" s="24">
        <v>80.422764666885328</v>
      </c>
      <c r="E23" s="24">
        <v>12.038096135326189</v>
      </c>
      <c r="F23" s="145">
        <v>1</v>
      </c>
      <c r="M23" s="160">
        <v>0</v>
      </c>
      <c r="N23" s="161">
        <v>0</v>
      </c>
    </row>
    <row r="24" spans="1:14" x14ac:dyDescent="0.35">
      <c r="A24" s="6" t="s">
        <v>8</v>
      </c>
      <c r="B24" s="7" t="s">
        <v>3</v>
      </c>
      <c r="C24" s="24">
        <v>8.5460478355985749</v>
      </c>
      <c r="D24" s="24">
        <v>79.825435202225208</v>
      </c>
      <c r="E24" s="24">
        <v>11.62851696217623</v>
      </c>
      <c r="F24" s="145">
        <v>1</v>
      </c>
      <c r="M24" s="160">
        <v>5</v>
      </c>
      <c r="N24" s="161">
        <v>1</v>
      </c>
    </row>
    <row r="25" spans="1:14" x14ac:dyDescent="0.35">
      <c r="A25" s="6" t="s">
        <v>9</v>
      </c>
      <c r="B25" s="7" t="s">
        <v>3</v>
      </c>
      <c r="C25" s="24">
        <v>9.0593061671687014</v>
      </c>
      <c r="D25" s="24">
        <v>83.354111483739587</v>
      </c>
      <c r="E25" s="24">
        <v>7.5865823490917208</v>
      </c>
      <c r="F25" s="145">
        <v>1</v>
      </c>
      <c r="M25" s="160">
        <v>10</v>
      </c>
      <c r="N25" s="161">
        <v>5</v>
      </c>
    </row>
    <row r="26" spans="1:14" x14ac:dyDescent="0.35">
      <c r="A26" s="6" t="s">
        <v>18</v>
      </c>
      <c r="B26" s="7" t="s">
        <v>3</v>
      </c>
      <c r="C26" s="24">
        <v>17.188335679897087</v>
      </c>
      <c r="D26" s="24">
        <v>72.545227992185474</v>
      </c>
      <c r="E26" s="24">
        <v>10.266436327917434</v>
      </c>
      <c r="F26" s="145">
        <v>1</v>
      </c>
      <c r="M26" s="160">
        <v>15</v>
      </c>
      <c r="N26" s="161">
        <v>3</v>
      </c>
    </row>
    <row r="27" spans="1:14" x14ac:dyDescent="0.35">
      <c r="A27" s="6" t="s">
        <v>14</v>
      </c>
      <c r="B27" s="7" t="s">
        <v>3</v>
      </c>
      <c r="C27" s="24">
        <v>14.585750334327429</v>
      </c>
      <c r="D27" s="24">
        <v>75.331422575191937</v>
      </c>
      <c r="E27" s="24">
        <v>10.082827090480627</v>
      </c>
      <c r="F27" s="145">
        <v>1</v>
      </c>
      <c r="M27" s="160">
        <v>20</v>
      </c>
      <c r="N27" s="161">
        <v>4</v>
      </c>
    </row>
    <row r="28" spans="1:14" x14ac:dyDescent="0.35">
      <c r="A28" s="6" t="s">
        <v>13</v>
      </c>
      <c r="B28" s="7" t="s">
        <v>3</v>
      </c>
      <c r="C28" s="24">
        <v>14.573196459591578</v>
      </c>
      <c r="D28" s="24">
        <v>74.476099153368295</v>
      </c>
      <c r="E28" s="24">
        <v>10.950704387040126</v>
      </c>
      <c r="F28" s="145">
        <v>1</v>
      </c>
      <c r="M28" s="160">
        <v>25</v>
      </c>
      <c r="N28" s="161">
        <v>0</v>
      </c>
    </row>
    <row r="29" spans="1:14" x14ac:dyDescent="0.35">
      <c r="A29" s="6" t="s">
        <v>17</v>
      </c>
      <c r="B29" s="7" t="s">
        <v>3</v>
      </c>
      <c r="C29" s="24">
        <v>16.729878954752781</v>
      </c>
      <c r="D29" s="24">
        <v>70.832880945191476</v>
      </c>
      <c r="E29" s="24">
        <v>12.437240100055742</v>
      </c>
      <c r="F29" s="145">
        <v>1</v>
      </c>
      <c r="M29" s="160">
        <v>30</v>
      </c>
      <c r="N29" s="161">
        <v>0</v>
      </c>
    </row>
    <row r="30" spans="1:14" x14ac:dyDescent="0.35">
      <c r="A30" s="6" t="s">
        <v>20</v>
      </c>
      <c r="B30" s="7" t="s">
        <v>3</v>
      </c>
      <c r="C30" s="24">
        <v>18.35037806825833</v>
      </c>
      <c r="D30" s="24">
        <v>67.734819504575285</v>
      </c>
      <c r="E30" s="24">
        <v>13.914802427166393</v>
      </c>
      <c r="F30" s="145">
        <v>1</v>
      </c>
      <c r="M30" s="160">
        <v>35</v>
      </c>
      <c r="N30" s="161">
        <v>1</v>
      </c>
    </row>
    <row r="31" spans="1:14" x14ac:dyDescent="0.35">
      <c r="A31" s="4" t="s">
        <v>26</v>
      </c>
      <c r="B31" s="9" t="s">
        <v>3</v>
      </c>
      <c r="C31" s="25">
        <v>39.061785670350879</v>
      </c>
      <c r="D31" s="25">
        <v>56.089638434409295</v>
      </c>
      <c r="E31" s="25">
        <v>4.8485758952398372</v>
      </c>
      <c r="F31" s="145">
        <v>1</v>
      </c>
      <c r="M31" s="160">
        <v>40</v>
      </c>
      <c r="N31" s="161">
        <v>1</v>
      </c>
    </row>
    <row r="32" spans="1:14" x14ac:dyDescent="0.35">
      <c r="A32" s="4" t="s">
        <v>25</v>
      </c>
      <c r="B32" s="9" t="s">
        <v>3</v>
      </c>
      <c r="C32" s="25">
        <v>31.846168647090199</v>
      </c>
      <c r="D32" s="25">
        <v>59.260161869276708</v>
      </c>
      <c r="E32" s="25">
        <v>8.8936694836330545</v>
      </c>
      <c r="F32" s="145">
        <v>1</v>
      </c>
      <c r="M32" s="160">
        <v>45</v>
      </c>
      <c r="N32" s="161">
        <v>0</v>
      </c>
    </row>
    <row r="33" spans="1:14" x14ac:dyDescent="0.35">
      <c r="A33" s="7" t="s">
        <v>36</v>
      </c>
      <c r="B33" s="7" t="s">
        <v>3</v>
      </c>
      <c r="C33" s="24">
        <v>7.8029014219953368</v>
      </c>
      <c r="D33" s="24">
        <v>78.033236766048731</v>
      </c>
      <c r="E33" s="24">
        <v>14.163861811955925</v>
      </c>
      <c r="F33" s="145">
        <v>1</v>
      </c>
      <c r="M33" s="160">
        <v>50</v>
      </c>
      <c r="N33" s="161">
        <v>0</v>
      </c>
    </row>
    <row r="34" spans="1:14" ht="15" thickBot="1" x14ac:dyDescent="0.4">
      <c r="A34" s="4" t="s">
        <v>44</v>
      </c>
      <c r="B34" s="9" t="s">
        <v>3</v>
      </c>
      <c r="C34" s="3">
        <v>12.470243581454627</v>
      </c>
      <c r="D34" s="3">
        <v>69.547144116466086</v>
      </c>
      <c r="E34" s="3">
        <v>19.951000000000001</v>
      </c>
      <c r="F34" s="145">
        <v>1</v>
      </c>
      <c r="M34" s="162" t="s">
        <v>124</v>
      </c>
      <c r="N34" s="162">
        <v>0</v>
      </c>
    </row>
    <row r="35" spans="1:14" x14ac:dyDescent="0.35">
      <c r="A35" s="4" t="s">
        <v>45</v>
      </c>
      <c r="B35" s="8" t="s">
        <v>3</v>
      </c>
      <c r="C35" s="3">
        <v>19.786829862026135</v>
      </c>
      <c r="D35" s="3">
        <v>62.784835707939948</v>
      </c>
      <c r="E35" s="3">
        <v>17.428334430033921</v>
      </c>
      <c r="F35" s="145">
        <v>1</v>
      </c>
    </row>
    <row r="36" spans="1:14" x14ac:dyDescent="0.35">
      <c r="A36" s="11" t="s">
        <v>55</v>
      </c>
      <c r="B36" s="6"/>
      <c r="C36" s="26">
        <f>AVERAGE(C21:C35)</f>
        <v>15.41117655418172</v>
      </c>
      <c r="D36" s="26">
        <f>AVERAGE(D21:D35)</f>
        <v>72.546038008719776</v>
      </c>
      <c r="E36" s="26">
        <f>AVERAGE(E21:E35)</f>
        <v>12.174011283626545</v>
      </c>
    </row>
    <row r="37" spans="1:14" x14ac:dyDescent="0.35">
      <c r="A37" s="11" t="s">
        <v>56</v>
      </c>
      <c r="B37" s="6"/>
      <c r="C37" s="26">
        <f>STDEV(C21:C35)</f>
        <v>9.4014517543136193</v>
      </c>
      <c r="D37" s="26">
        <f>STDEV(D21:D35)</f>
        <v>8.2030926592894318</v>
      </c>
      <c r="E37" s="26">
        <f>STDEV(E21:E35)</f>
        <v>3.7684911600880278</v>
      </c>
    </row>
    <row r="38" spans="1:14" s="18" customFormat="1" x14ac:dyDescent="0.35">
      <c r="A38" s="143" t="s">
        <v>104</v>
      </c>
      <c r="B38" s="144"/>
      <c r="C38" s="26">
        <f>_xlfn.VAR.S(C21:C35)</f>
        <v>88.387295088686642</v>
      </c>
      <c r="D38" s="26">
        <f>_xlfn.VAR.S(D21:D35)</f>
        <v>67.290729176888163</v>
      </c>
      <c r="E38" s="26">
        <f>_xlfn.VAR.S(E21:E35)</f>
        <v>14.20152562366161</v>
      </c>
      <c r="F38" s="145"/>
    </row>
    <row r="39" spans="1:14" x14ac:dyDescent="0.35">
      <c r="A39" s="11" t="s">
        <v>57</v>
      </c>
      <c r="B39" s="6"/>
      <c r="C39" s="26">
        <f>C37/(SQRT(COUNT(C21:C35)))</f>
        <v>2.4274444049752768</v>
      </c>
      <c r="D39" s="26">
        <f>D37/(SQRT(COUNT(D21:D35)))</f>
        <v>2.1180294171216185</v>
      </c>
      <c r="E39" s="26">
        <f>E37/(SQRT(COUNT(E21:E35)))</f>
        <v>0.97302023355671996</v>
      </c>
    </row>
    <row r="40" spans="1:14" s="18" customFormat="1" x14ac:dyDescent="0.35">
      <c r="A40" s="143" t="s">
        <v>103</v>
      </c>
      <c r="B40" s="144"/>
      <c r="C40" s="26">
        <f>MEDIAN(C21:C35)</f>
        <v>14.573196459591578</v>
      </c>
      <c r="D40" s="26">
        <f>MEDIAN(D21:D35)</f>
        <v>74.476099153368295</v>
      </c>
      <c r="E40" s="26">
        <f>MEDIAN(E21:E35)</f>
        <v>12.038096135326189</v>
      </c>
      <c r="F40" s="145"/>
    </row>
    <row r="41" spans="1:14" ht="15" thickBot="1" x14ac:dyDescent="0.4">
      <c r="A41" s="2"/>
      <c r="B41" s="2"/>
      <c r="C41" s="2"/>
      <c r="D41" s="2"/>
      <c r="E41" s="2"/>
    </row>
    <row r="42" spans="1:14" ht="29" x14ac:dyDescent="0.35">
      <c r="A42" s="11" t="s">
        <v>0</v>
      </c>
      <c r="B42" s="11" t="s">
        <v>1</v>
      </c>
      <c r="C42" s="345" t="s">
        <v>227</v>
      </c>
      <c r="D42" s="345" t="s">
        <v>226</v>
      </c>
      <c r="E42" s="345" t="s">
        <v>228</v>
      </c>
      <c r="M42" s="163" t="s">
        <v>123</v>
      </c>
      <c r="N42" s="163" t="s">
        <v>125</v>
      </c>
    </row>
    <row r="43" spans="1:14" x14ac:dyDescent="0.35">
      <c r="A43" s="432" t="s">
        <v>28</v>
      </c>
      <c r="B43" s="432"/>
      <c r="C43" s="432"/>
      <c r="D43" s="432"/>
      <c r="E43" s="432"/>
      <c r="M43" s="160">
        <v>0</v>
      </c>
      <c r="N43" s="161">
        <v>0</v>
      </c>
    </row>
    <row r="44" spans="1:14" x14ac:dyDescent="0.35">
      <c r="A44" s="7" t="s">
        <v>35</v>
      </c>
      <c r="B44" s="7" t="s">
        <v>3</v>
      </c>
      <c r="C44" s="24">
        <v>6.6186226260950001</v>
      </c>
      <c r="D44" s="24">
        <v>79.61765667532795</v>
      </c>
      <c r="E44" s="24">
        <v>13.763720698577051</v>
      </c>
      <c r="F44" s="145">
        <v>1</v>
      </c>
      <c r="M44" s="160">
        <v>5</v>
      </c>
      <c r="N44" s="161">
        <v>3</v>
      </c>
    </row>
    <row r="45" spans="1:14" x14ac:dyDescent="0.35">
      <c r="A45" s="7" t="s">
        <v>33</v>
      </c>
      <c r="B45" s="7" t="s">
        <v>3</v>
      </c>
      <c r="C45" s="24">
        <v>6.1603289608374192</v>
      </c>
      <c r="D45" s="24">
        <v>78.942581138235468</v>
      </c>
      <c r="E45" s="24">
        <v>14.897089900927119</v>
      </c>
      <c r="F45" s="145">
        <v>1</v>
      </c>
      <c r="M45" s="160">
        <v>10</v>
      </c>
      <c r="N45" s="161">
        <v>3</v>
      </c>
    </row>
    <row r="46" spans="1:14" x14ac:dyDescent="0.35">
      <c r="A46" s="7" t="s">
        <v>30</v>
      </c>
      <c r="B46" s="7" t="s">
        <v>3</v>
      </c>
      <c r="C46" s="24">
        <v>2.5355249242722913</v>
      </c>
      <c r="D46" s="24">
        <v>80.197745815104085</v>
      </c>
      <c r="E46" s="24">
        <v>17.26672926062362</v>
      </c>
      <c r="F46" s="145">
        <v>1</v>
      </c>
      <c r="M46" s="160">
        <v>15</v>
      </c>
      <c r="N46" s="161">
        <v>0</v>
      </c>
    </row>
    <row r="47" spans="1:14" x14ac:dyDescent="0.35">
      <c r="A47" s="7" t="s">
        <v>34</v>
      </c>
      <c r="B47" s="7" t="s">
        <v>3</v>
      </c>
      <c r="C47" s="24">
        <v>6.2079909026860625</v>
      </c>
      <c r="D47" s="24">
        <v>81.400657853423141</v>
      </c>
      <c r="E47" s="24">
        <v>12.391351243890794</v>
      </c>
      <c r="F47" s="145">
        <v>1</v>
      </c>
      <c r="M47" s="160">
        <v>20</v>
      </c>
      <c r="N47" s="161">
        <v>0</v>
      </c>
    </row>
    <row r="48" spans="1:14" x14ac:dyDescent="0.35">
      <c r="A48" s="7" t="s">
        <v>29</v>
      </c>
      <c r="B48" s="7" t="s">
        <v>3</v>
      </c>
      <c r="C48" s="24">
        <v>2.5286716123075994</v>
      </c>
      <c r="D48" s="24">
        <v>81.923999168902</v>
      </c>
      <c r="E48" s="24">
        <v>15.547329218790408</v>
      </c>
      <c r="F48" s="145">
        <v>1</v>
      </c>
      <c r="M48" s="160">
        <v>25</v>
      </c>
      <c r="N48" s="161">
        <v>0</v>
      </c>
    </row>
    <row r="49" spans="1:14" x14ac:dyDescent="0.35">
      <c r="A49" s="7" t="s">
        <v>31</v>
      </c>
      <c r="B49" s="7" t="s">
        <v>3</v>
      </c>
      <c r="C49" s="24">
        <v>3.1916244347048073</v>
      </c>
      <c r="D49" s="24">
        <v>83.014073452397071</v>
      </c>
      <c r="E49" s="24">
        <v>13.79430211289813</v>
      </c>
      <c r="F49" s="145">
        <v>1</v>
      </c>
      <c r="M49" s="160">
        <v>30</v>
      </c>
      <c r="N49" s="161">
        <v>0</v>
      </c>
    </row>
    <row r="50" spans="1:14" x14ac:dyDescent="0.35">
      <c r="A50" s="4"/>
      <c r="B50" s="8"/>
      <c r="C50" s="3"/>
      <c r="D50" s="3"/>
      <c r="E50" s="3"/>
      <c r="M50" s="160">
        <v>35</v>
      </c>
      <c r="N50" s="161">
        <v>0</v>
      </c>
    </row>
    <row r="51" spans="1:14" x14ac:dyDescent="0.35">
      <c r="A51" s="7"/>
      <c r="B51" s="7"/>
      <c r="C51" s="24"/>
      <c r="D51" s="24"/>
      <c r="E51" s="24"/>
      <c r="M51" s="160">
        <v>40</v>
      </c>
      <c r="N51" s="161">
        <v>0</v>
      </c>
    </row>
    <row r="52" spans="1:14" x14ac:dyDescent="0.35">
      <c r="A52" s="11" t="s">
        <v>55</v>
      </c>
      <c r="B52" s="6"/>
      <c r="C52" s="26">
        <f>AVERAGE(C44:C50)</f>
        <v>4.5404605768171962</v>
      </c>
      <c r="D52" s="26">
        <f>AVERAGE(D44:D50)</f>
        <v>80.849452350564945</v>
      </c>
      <c r="E52" s="26">
        <f>AVERAGE(E44:E50)</f>
        <v>14.610087072617853</v>
      </c>
      <c r="M52" s="160">
        <v>45</v>
      </c>
      <c r="N52" s="161">
        <v>0</v>
      </c>
    </row>
    <row r="53" spans="1:14" x14ac:dyDescent="0.35">
      <c r="A53" s="11" t="s">
        <v>56</v>
      </c>
      <c r="B53" s="6"/>
      <c r="C53" s="26">
        <f>STDEV(C44:C51)</f>
        <v>1.9803943657330496</v>
      </c>
      <c r="D53" s="26">
        <f>STDEV(D44:D51)</f>
        <v>1.53116052064976</v>
      </c>
      <c r="E53" s="26">
        <f>STDEV(E44:E51)</f>
        <v>1.6925230276956886</v>
      </c>
      <c r="M53" s="160">
        <v>50</v>
      </c>
      <c r="N53" s="161">
        <v>0</v>
      </c>
    </row>
    <row r="54" spans="1:14" s="18" customFormat="1" ht="15" thickBot="1" x14ac:dyDescent="0.4">
      <c r="A54" s="143" t="s">
        <v>104</v>
      </c>
      <c r="B54" s="144"/>
      <c r="C54" s="26">
        <f>_xlfn.VAR.S(C44:C49)</f>
        <v>3.9219618438272077</v>
      </c>
      <c r="D54" s="26">
        <f>_xlfn.VAR.S(D44:D49)</f>
        <v>2.344452539996444</v>
      </c>
      <c r="E54" s="26">
        <f>_xlfn.VAR.S(E44:E49)</f>
        <v>2.8646341992801809</v>
      </c>
      <c r="F54" s="145"/>
      <c r="M54" s="162" t="s">
        <v>124</v>
      </c>
      <c r="N54" s="162">
        <v>0</v>
      </c>
    </row>
    <row r="55" spans="1:14" x14ac:dyDescent="0.35">
      <c r="A55" s="27" t="s">
        <v>57</v>
      </c>
      <c r="B55" s="4"/>
      <c r="C55" s="28">
        <f>(C53)/(SQRT(COUNT(C44:C51)))</f>
        <v>0.80849261425478391</v>
      </c>
      <c r="D55" s="28">
        <f>(D53)/(SQRT(COUNT(D44:D51)))</f>
        <v>0.62509366498102303</v>
      </c>
      <c r="E55" s="28">
        <f>(E53)/(SQRT(COUNT(E44:E51)))</f>
        <v>0.69096963262748645</v>
      </c>
    </row>
    <row r="56" spans="1:14" s="18" customFormat="1" x14ac:dyDescent="0.35">
      <c r="A56" s="27" t="s">
        <v>103</v>
      </c>
      <c r="B56" s="4"/>
      <c r="C56" s="28">
        <f>MEDIAN(C44:C49)</f>
        <v>4.6759766977711132</v>
      </c>
      <c r="D56" s="28">
        <f>MEDIAN(D44:D49)</f>
        <v>80.799201834263613</v>
      </c>
      <c r="E56" s="28">
        <f>MEDIAN(E44:E49)</f>
        <v>14.345696006912625</v>
      </c>
      <c r="F56" s="145"/>
    </row>
    <row r="57" spans="1:14" x14ac:dyDescent="0.35">
      <c r="A57" s="2"/>
      <c r="B57" s="2"/>
      <c r="C57" s="2"/>
      <c r="D57" s="3"/>
      <c r="E57" s="3"/>
    </row>
    <row r="58" spans="1:14" ht="29" x14ac:dyDescent="0.35">
      <c r="A58" s="11" t="s">
        <v>0</v>
      </c>
      <c r="B58" s="11" t="s">
        <v>1</v>
      </c>
      <c r="C58" s="345" t="s">
        <v>227</v>
      </c>
      <c r="D58" s="345" t="s">
        <v>226</v>
      </c>
      <c r="E58" s="345" t="s">
        <v>228</v>
      </c>
    </row>
    <row r="59" spans="1:14" x14ac:dyDescent="0.35">
      <c r="A59" s="432" t="s">
        <v>19</v>
      </c>
      <c r="B59" s="433"/>
      <c r="C59" s="433"/>
      <c r="D59" s="433"/>
      <c r="E59" s="433"/>
    </row>
    <row r="60" spans="1:14" x14ac:dyDescent="0.35">
      <c r="A60" s="6" t="s">
        <v>7</v>
      </c>
      <c r="B60" s="7" t="s">
        <v>27</v>
      </c>
      <c r="C60" s="24">
        <v>0</v>
      </c>
      <c r="D60" s="24">
        <v>69.88384007338631</v>
      </c>
      <c r="E60" s="24">
        <v>30.115458604832526</v>
      </c>
      <c r="F60" s="145">
        <v>1</v>
      </c>
    </row>
    <row r="61" spans="1:14" x14ac:dyDescent="0.35">
      <c r="A61" s="4" t="s">
        <v>43</v>
      </c>
      <c r="B61" s="9" t="s">
        <v>3</v>
      </c>
      <c r="C61" s="25">
        <v>2.4940000000000002</v>
      </c>
      <c r="D61" s="25">
        <v>77.555999999999997</v>
      </c>
      <c r="E61" s="25">
        <v>19</v>
      </c>
      <c r="F61" s="145">
        <v>1</v>
      </c>
    </row>
    <row r="62" spans="1:14" x14ac:dyDescent="0.35">
      <c r="A62" s="7" t="s">
        <v>32</v>
      </c>
      <c r="B62" s="7" t="s">
        <v>3</v>
      </c>
      <c r="C62" s="24">
        <v>4.4457211385373894</v>
      </c>
      <c r="D62" s="24">
        <v>72.25884446460725</v>
      </c>
      <c r="E62" s="24">
        <v>23.295434396855363</v>
      </c>
      <c r="F62" s="145">
        <v>1</v>
      </c>
    </row>
    <row r="63" spans="1:14" x14ac:dyDescent="0.35">
      <c r="A63" s="6" t="s">
        <v>42</v>
      </c>
      <c r="B63" s="7" t="s">
        <v>3</v>
      </c>
      <c r="C63" s="24">
        <v>0.78890646694503286</v>
      </c>
      <c r="D63" s="24">
        <v>69.534926218748893</v>
      </c>
      <c r="E63" s="24">
        <v>29.676167314306092</v>
      </c>
      <c r="F63" s="145">
        <v>1</v>
      </c>
    </row>
    <row r="64" spans="1:14" x14ac:dyDescent="0.35">
      <c r="A64" s="6" t="s">
        <v>38</v>
      </c>
      <c r="B64" s="7" t="s">
        <v>3</v>
      </c>
      <c r="C64" s="24">
        <v>5.4318556140145573E-2</v>
      </c>
      <c r="D64" s="24">
        <v>68.088128866775193</v>
      </c>
      <c r="E64" s="24">
        <v>31.857552577084654</v>
      </c>
      <c r="F64" s="145">
        <v>1</v>
      </c>
    </row>
    <row r="65" spans="1:6" x14ac:dyDescent="0.35">
      <c r="A65" s="6" t="s">
        <v>41</v>
      </c>
      <c r="B65" s="7" t="s">
        <v>3</v>
      </c>
      <c r="C65" s="24">
        <v>0.76289369846934285</v>
      </c>
      <c r="D65" s="24">
        <v>63.565839030198035</v>
      </c>
      <c r="E65" s="24">
        <v>35.671267271332624</v>
      </c>
      <c r="F65" s="145">
        <v>1</v>
      </c>
    </row>
    <row r="66" spans="1:6" x14ac:dyDescent="0.35">
      <c r="A66" s="6" t="s">
        <v>15</v>
      </c>
      <c r="B66" s="7" t="s">
        <v>27</v>
      </c>
      <c r="C66" s="24">
        <v>0</v>
      </c>
      <c r="D66" s="24">
        <v>60.021151864919808</v>
      </c>
      <c r="E66" s="24">
        <v>39.977796152408438</v>
      </c>
      <c r="F66" s="145">
        <v>1</v>
      </c>
    </row>
    <row r="67" spans="1:6" x14ac:dyDescent="0.35">
      <c r="A67" s="6" t="s">
        <v>39</v>
      </c>
      <c r="B67" s="7" t="s">
        <v>27</v>
      </c>
      <c r="C67" s="24">
        <v>0.11207805907172996</v>
      </c>
      <c r="D67" s="24">
        <v>71.109905056810561</v>
      </c>
      <c r="E67" s="24">
        <v>28.778717096212496</v>
      </c>
      <c r="F67" s="145">
        <v>1</v>
      </c>
    </row>
    <row r="68" spans="1:6" x14ac:dyDescent="0.35">
      <c r="A68" s="6" t="s">
        <v>40</v>
      </c>
      <c r="B68" s="7" t="s">
        <v>27</v>
      </c>
      <c r="C68" s="24">
        <v>0.19431117203564086</v>
      </c>
      <c r="D68" s="24">
        <v>67.338618496919935</v>
      </c>
      <c r="E68" s="24">
        <v>32.466720391183777</v>
      </c>
      <c r="F68" s="145">
        <v>1</v>
      </c>
    </row>
    <row r="69" spans="1:6" x14ac:dyDescent="0.35">
      <c r="A69" s="6" t="s">
        <v>37</v>
      </c>
      <c r="B69" s="7" t="s">
        <v>27</v>
      </c>
      <c r="C69" s="24">
        <v>0</v>
      </c>
      <c r="D69" s="24">
        <v>75.794580045010832</v>
      </c>
      <c r="E69" s="24">
        <v>24.204718633208007</v>
      </c>
      <c r="F69" s="145">
        <v>1</v>
      </c>
    </row>
    <row r="70" spans="1:6" x14ac:dyDescent="0.35">
      <c r="A70" s="11" t="s">
        <v>55</v>
      </c>
      <c r="B70" s="6"/>
      <c r="C70" s="26">
        <f>AVERAGE(C60:C69)</f>
        <v>0.88522290911992818</v>
      </c>
      <c r="D70" s="26">
        <f>AVERAGE(D60:D69)</f>
        <v>69.515183411737695</v>
      </c>
      <c r="E70" s="26">
        <f>AVERAGE(E60:E69)</f>
        <v>29.504383243742399</v>
      </c>
    </row>
    <row r="71" spans="1:6" x14ac:dyDescent="0.35">
      <c r="A71" s="11" t="s">
        <v>56</v>
      </c>
      <c r="B71" s="6"/>
      <c r="C71" s="26">
        <f>STDEV(C60:C69)</f>
        <v>1.4684052381382602</v>
      </c>
      <c r="D71" s="26">
        <f>STDEV(D60:D69)</f>
        <v>5.234478825588238</v>
      </c>
      <c r="E71" s="26">
        <f>STDEV(E60:E69)</f>
        <v>6.1458636150393815</v>
      </c>
    </row>
    <row r="72" spans="1:6" s="18" customFormat="1" x14ac:dyDescent="0.35">
      <c r="A72" s="143" t="s">
        <v>104</v>
      </c>
      <c r="B72" s="144"/>
      <c r="C72" s="26">
        <f>_xlfn.VAR.S(C60:C69)</f>
        <v>2.1562139433918808</v>
      </c>
      <c r="D72" s="26">
        <f>_xlfn.VAR.S(D60:D69)</f>
        <v>27.399768575531617</v>
      </c>
      <c r="E72" s="26">
        <f>_xlfn.VAR.S(E60:E69)</f>
        <v>37.771639574664931</v>
      </c>
      <c r="F72" s="145"/>
    </row>
    <row r="73" spans="1:6" x14ac:dyDescent="0.35">
      <c r="A73" s="11" t="s">
        <v>57</v>
      </c>
      <c r="B73" s="6"/>
      <c r="C73" s="26">
        <f>C71/(SQRT(COUNT(C60:C69)))</f>
        <v>0.46435050806388489</v>
      </c>
      <c r="D73" s="26">
        <f>D71/(SQRT(COUNT(D60:D69)))</f>
        <v>1.6552875452782099</v>
      </c>
      <c r="E73" s="26">
        <f>E71/(SQRT(COUNT(E60:E69)))</f>
        <v>1.943492721228071</v>
      </c>
    </row>
    <row r="74" spans="1:6" s="18" customFormat="1" x14ac:dyDescent="0.35">
      <c r="A74" s="143" t="s">
        <v>103</v>
      </c>
      <c r="B74" s="144"/>
      <c r="C74" s="26">
        <f>MEDIAN(C60:C69)</f>
        <v>0.15319461555368541</v>
      </c>
      <c r="D74" s="26">
        <f>MEDIAN(D60:D69)</f>
        <v>69.709383146067609</v>
      </c>
      <c r="E74" s="26">
        <f>MEDIAN(E60:E69)</f>
        <v>29.895812959569309</v>
      </c>
      <c r="F74" s="145"/>
    </row>
    <row r="75" spans="1:6" x14ac:dyDescent="0.35">
      <c r="A75" s="12"/>
      <c r="B75" s="12"/>
      <c r="C75" s="12"/>
      <c r="D75" s="12"/>
      <c r="E75" s="12"/>
    </row>
    <row r="76" spans="1:6" ht="29" x14ac:dyDescent="0.35">
      <c r="A76" s="11" t="s">
        <v>0</v>
      </c>
      <c r="B76" s="11" t="s">
        <v>1</v>
      </c>
      <c r="C76" s="345" t="s">
        <v>227</v>
      </c>
      <c r="D76" s="345" t="s">
        <v>226</v>
      </c>
      <c r="E76" s="345" t="s">
        <v>228</v>
      </c>
    </row>
    <row r="77" spans="1:6" x14ac:dyDescent="0.35">
      <c r="A77" s="432" t="s">
        <v>58</v>
      </c>
      <c r="B77" s="433"/>
      <c r="C77" s="433"/>
      <c r="D77" s="433"/>
      <c r="E77" s="433"/>
    </row>
    <row r="78" spans="1:6" x14ac:dyDescent="0.35">
      <c r="A78" s="12"/>
      <c r="B78" s="12"/>
      <c r="C78" s="12"/>
      <c r="D78" s="12"/>
      <c r="E78" s="12"/>
    </row>
    <row r="79" spans="1:6" x14ac:dyDescent="0.35">
      <c r="A79" s="13" t="s">
        <v>59</v>
      </c>
      <c r="B79" s="7" t="s">
        <v>3</v>
      </c>
      <c r="C79" s="24">
        <v>3.2963488885605097</v>
      </c>
      <c r="D79" s="24">
        <v>55.094222033996168</v>
      </c>
      <c r="E79" s="24">
        <v>41.60942907744333</v>
      </c>
      <c r="F79" s="145">
        <v>1</v>
      </c>
    </row>
    <row r="80" spans="1:6" x14ac:dyDescent="0.35">
      <c r="A80" s="6" t="s">
        <v>2</v>
      </c>
      <c r="B80" s="7" t="s">
        <v>27</v>
      </c>
      <c r="C80" s="24">
        <v>0</v>
      </c>
      <c r="D80" s="24">
        <v>77.106402436672397</v>
      </c>
      <c r="E80" s="24">
        <v>22.895000206889918</v>
      </c>
      <c r="F80" s="145">
        <v>1</v>
      </c>
    </row>
    <row r="81" spans="1:6" x14ac:dyDescent="0.35">
      <c r="A81" s="6" t="s">
        <v>10</v>
      </c>
      <c r="B81" s="7" t="s">
        <v>27</v>
      </c>
      <c r="C81" s="24">
        <v>0</v>
      </c>
      <c r="D81" s="24">
        <v>71.631533952039405</v>
      </c>
      <c r="E81" s="24">
        <v>28.369518030632335</v>
      </c>
      <c r="F81" s="145">
        <v>1</v>
      </c>
    </row>
    <row r="82" spans="1:6" x14ac:dyDescent="0.35">
      <c r="A82" s="12"/>
      <c r="B82" s="12"/>
      <c r="C82" s="12"/>
      <c r="D82" s="12"/>
      <c r="E82" s="12"/>
    </row>
    <row r="83" spans="1:6" x14ac:dyDescent="0.35">
      <c r="A83" s="6" t="s">
        <v>8</v>
      </c>
      <c r="B83" s="7" t="s">
        <v>27</v>
      </c>
      <c r="C83" s="24">
        <v>0</v>
      </c>
      <c r="D83" s="24">
        <v>73.868399773052275</v>
      </c>
      <c r="E83" s="24">
        <v>26.131950887838304</v>
      </c>
      <c r="F83" s="145">
        <v>1</v>
      </c>
    </row>
    <row r="84" spans="1:6" x14ac:dyDescent="0.35">
      <c r="A84" s="6" t="s">
        <v>31</v>
      </c>
      <c r="B84" s="7" t="s">
        <v>27</v>
      </c>
      <c r="C84" s="24">
        <v>0</v>
      </c>
      <c r="D84" s="24">
        <v>75.672900715979395</v>
      </c>
      <c r="E84" s="24">
        <v>24.327800605801755</v>
      </c>
      <c r="F84" s="145">
        <v>1</v>
      </c>
    </row>
    <row r="85" spans="1:6" x14ac:dyDescent="0.35">
      <c r="A85" s="11" t="s">
        <v>55</v>
      </c>
      <c r="B85" s="6"/>
      <c r="C85" s="26">
        <f>AVERAGE(C78:C84)</f>
        <v>0.65926977771210193</v>
      </c>
      <c r="D85" s="26">
        <f>AVERAGE(D78:D84)</f>
        <v>70.674691782347935</v>
      </c>
      <c r="E85" s="26">
        <f>AVERAGE(E78:E84)</f>
        <v>28.666739761721125</v>
      </c>
    </row>
    <row r="86" spans="1:6" x14ac:dyDescent="0.35">
      <c r="A86" s="11" t="s">
        <v>56</v>
      </c>
      <c r="B86" s="6"/>
      <c r="C86" s="26">
        <f>STDEV(C78:C84)</f>
        <v>1.4741720384754358</v>
      </c>
      <c r="D86" s="26">
        <f>STDEV(D78:D84)</f>
        <v>8.9472810078268985</v>
      </c>
      <c r="E86" s="26">
        <f>STDEV(E78:E84)</f>
        <v>7.5194094283307269</v>
      </c>
    </row>
    <row r="87" spans="1:6" s="18" customFormat="1" x14ac:dyDescent="0.35">
      <c r="A87" s="143" t="s">
        <v>104</v>
      </c>
      <c r="B87" s="144"/>
      <c r="C87" s="26">
        <f>_xlfn.VAR.S(C79:C81,C83:C84)</f>
        <v>2.1731831990228216</v>
      </c>
      <c r="D87" s="26">
        <f>_xlfn.VAR.S(D79:D81,D83:D84)</f>
        <v>80.053837433019908</v>
      </c>
      <c r="E87" s="26">
        <f>_xlfn.VAR.S(E79:E81,E83:E84)</f>
        <v>56.541518150869024</v>
      </c>
      <c r="F87" s="145"/>
    </row>
    <row r="88" spans="1:6" x14ac:dyDescent="0.35">
      <c r="A88" s="11" t="s">
        <v>57</v>
      </c>
      <c r="B88" s="6"/>
      <c r="C88" s="26">
        <f>C86/(SQRT(COUNT(C78:C84)))</f>
        <v>0.65926977771210193</v>
      </c>
      <c r="D88" s="26">
        <f>D86/(SQRT(COUNT(D78:D84)))</f>
        <v>4.0013457094587546</v>
      </c>
      <c r="E88" s="26">
        <f>E86/(SQRT(COUNT(E78:E84)))</f>
        <v>3.3627821264800675</v>
      </c>
    </row>
    <row r="89" spans="1:6" s="18" customFormat="1" x14ac:dyDescent="0.35">
      <c r="A89" s="143" t="s">
        <v>103</v>
      </c>
      <c r="B89" s="144"/>
      <c r="C89" s="26">
        <f>MEDIAN(C79:C81,C83:C84)</f>
        <v>0</v>
      </c>
      <c r="D89" s="26">
        <f>MEDIAN(D79:D81,D83:D84)</f>
        <v>73.868399773052275</v>
      </c>
      <c r="E89" s="26">
        <f>MEDIAN(E79:E81,E83:E84)</f>
        <v>26.131950887838304</v>
      </c>
      <c r="F89" s="145"/>
    </row>
    <row r="91" spans="1:6" ht="29" x14ac:dyDescent="0.35">
      <c r="A91" s="11" t="s">
        <v>0</v>
      </c>
      <c r="B91" s="11" t="s">
        <v>1</v>
      </c>
      <c r="C91" s="345" t="s">
        <v>227</v>
      </c>
      <c r="D91" s="345" t="s">
        <v>226</v>
      </c>
      <c r="E91" s="345" t="s">
        <v>228</v>
      </c>
    </row>
    <row r="92" spans="1:6" x14ac:dyDescent="0.35">
      <c r="A92" s="432" t="s">
        <v>16</v>
      </c>
      <c r="B92" s="433"/>
      <c r="C92" s="433"/>
      <c r="D92" s="433"/>
      <c r="E92" s="433"/>
    </row>
    <row r="93" spans="1:6" x14ac:dyDescent="0.35">
      <c r="A93" s="13" t="s">
        <v>48</v>
      </c>
      <c r="B93" s="7" t="s">
        <v>3</v>
      </c>
      <c r="C93" s="24">
        <v>0.81251658437653385</v>
      </c>
      <c r="D93" s="24">
        <v>39.167019691907633</v>
      </c>
      <c r="E93" s="24">
        <v>60.020463723715835</v>
      </c>
      <c r="F93" s="145">
        <v>1</v>
      </c>
    </row>
    <row r="94" spans="1:6" x14ac:dyDescent="0.35">
      <c r="A94" s="13" t="s">
        <v>60</v>
      </c>
      <c r="B94" s="7" t="s">
        <v>3</v>
      </c>
      <c r="C94" s="24">
        <v>0.85996432414639234</v>
      </c>
      <c r="D94" s="24">
        <v>58.584162406340099</v>
      </c>
      <c r="E94" s="24">
        <v>40.555873269513498</v>
      </c>
      <c r="F94" s="145">
        <v>1</v>
      </c>
    </row>
    <row r="95" spans="1:6" x14ac:dyDescent="0.35">
      <c r="A95" s="13" t="s">
        <v>61</v>
      </c>
      <c r="B95" s="7" t="s">
        <v>3</v>
      </c>
      <c r="C95" s="2">
        <v>2.8549467295592161</v>
      </c>
      <c r="D95" s="2">
        <v>54.586283775782206</v>
      </c>
      <c r="E95" s="2">
        <v>42.55876949465857</v>
      </c>
      <c r="F95" s="145">
        <v>1</v>
      </c>
    </row>
    <row r="96" spans="1:6" x14ac:dyDescent="0.35">
      <c r="A96" s="6" t="s">
        <v>46</v>
      </c>
      <c r="B96" s="7" t="s">
        <v>27</v>
      </c>
      <c r="C96" s="24">
        <v>0</v>
      </c>
      <c r="D96" s="24">
        <v>69.486784947337568</v>
      </c>
      <c r="E96" s="24">
        <v>30.513215052662428</v>
      </c>
      <c r="F96" s="145">
        <v>1</v>
      </c>
    </row>
    <row r="97" spans="1:6" x14ac:dyDescent="0.35">
      <c r="A97" s="6" t="s">
        <v>9</v>
      </c>
      <c r="B97" s="7" t="s">
        <v>27</v>
      </c>
      <c r="C97" s="24">
        <v>0</v>
      </c>
      <c r="D97" s="24">
        <v>72.115348200472127</v>
      </c>
      <c r="E97" s="24">
        <v>27.884651799527873</v>
      </c>
      <c r="F97" s="145">
        <v>1</v>
      </c>
    </row>
    <row r="98" spans="1:6" x14ac:dyDescent="0.35">
      <c r="A98" s="6" t="s">
        <v>13</v>
      </c>
      <c r="B98" s="7" t="s">
        <v>27</v>
      </c>
      <c r="C98" s="24">
        <v>0</v>
      </c>
      <c r="D98" s="24">
        <v>66.676929378051639</v>
      </c>
      <c r="E98" s="24">
        <v>33.323070621948354</v>
      </c>
      <c r="F98" s="145">
        <v>1</v>
      </c>
    </row>
    <row r="99" spans="1:6" x14ac:dyDescent="0.35">
      <c r="A99" s="6" t="s">
        <v>47</v>
      </c>
      <c r="B99" s="7" t="s">
        <v>27</v>
      </c>
      <c r="C99" s="24">
        <v>0</v>
      </c>
      <c r="D99" s="24">
        <v>65.410351016102922</v>
      </c>
      <c r="E99" s="24">
        <v>34.589648983897064</v>
      </c>
      <c r="F99" s="145">
        <v>1</v>
      </c>
    </row>
    <row r="100" spans="1:6" x14ac:dyDescent="0.35">
      <c r="A100" s="6" t="s">
        <v>5</v>
      </c>
      <c r="B100" s="7" t="s">
        <v>27</v>
      </c>
      <c r="C100" s="24">
        <v>0</v>
      </c>
      <c r="D100" s="24">
        <v>49.083675174052978</v>
      </c>
      <c r="E100" s="24">
        <v>50.916324825947036</v>
      </c>
      <c r="F100" s="145">
        <v>1</v>
      </c>
    </row>
    <row r="101" spans="1:6" x14ac:dyDescent="0.35">
      <c r="A101" s="6" t="s">
        <v>17</v>
      </c>
      <c r="B101" s="7" t="s">
        <v>27</v>
      </c>
      <c r="C101" s="24">
        <v>0</v>
      </c>
      <c r="D101" s="24">
        <v>69.503373007106475</v>
      </c>
      <c r="E101" s="24">
        <v>30.497328314674668</v>
      </c>
      <c r="F101" s="145">
        <v>1</v>
      </c>
    </row>
    <row r="102" spans="1:6" x14ac:dyDescent="0.35">
      <c r="A102" s="11" t="s">
        <v>55</v>
      </c>
      <c r="B102" s="7"/>
      <c r="C102" s="26">
        <f>AVERAGE(C93:C101)</f>
        <v>0.50304751534246028</v>
      </c>
      <c r="D102" s="26">
        <f>AVERAGE(D93:D101)</f>
        <v>60.512658621905956</v>
      </c>
      <c r="E102" s="26">
        <f>AVERAGE(E93:E101)</f>
        <v>38.984371787393926</v>
      </c>
    </row>
    <row r="103" spans="1:6" x14ac:dyDescent="0.35">
      <c r="A103" s="11" t="s">
        <v>56</v>
      </c>
      <c r="B103" s="6"/>
      <c r="C103" s="26">
        <f>STDEV(C93:C101)</f>
        <v>0.95347597263134598</v>
      </c>
      <c r="D103" s="26">
        <f>STDEV(D93:D101)</f>
        <v>11.085321934388315</v>
      </c>
      <c r="E103" s="26">
        <f>STDEV(E93:E101)</f>
        <v>10.71501697206031</v>
      </c>
    </row>
    <row r="104" spans="1:6" s="18" customFormat="1" x14ac:dyDescent="0.35">
      <c r="A104" s="143" t="s">
        <v>104</v>
      </c>
      <c r="B104" s="144"/>
      <c r="C104" s="26">
        <f>_xlfn.VAR.S(C93:C101)</f>
        <v>0.90911643038529133</v>
      </c>
      <c r="D104" s="26">
        <f>_xlfn.VAR.S(D93:D101)</f>
        <v>122.88436238903068</v>
      </c>
      <c r="E104" s="26">
        <f>_xlfn.VAR.S(E93:E101)</f>
        <v>114.81158871154048</v>
      </c>
      <c r="F104" s="145"/>
    </row>
    <row r="105" spans="1:6" x14ac:dyDescent="0.35">
      <c r="A105" s="11" t="s">
        <v>57</v>
      </c>
      <c r="B105" s="6"/>
      <c r="C105" s="26">
        <f>C103/(SQRT(COUNT(C93:C101)))</f>
        <v>0.31782532421044868</v>
      </c>
      <c r="D105" s="26">
        <f>D103/(SQRT(COUNT(D93:D101)))</f>
        <v>3.6951073114627717</v>
      </c>
      <c r="E105" s="26">
        <f>E103/(SQRT(COUNT(E93:E101)))</f>
        <v>3.5716723240201032</v>
      </c>
    </row>
    <row r="106" spans="1:6" x14ac:dyDescent="0.35">
      <c r="A106" s="143" t="s">
        <v>103</v>
      </c>
      <c r="C106" s="20">
        <f>MEDIAN(C93:C101)</f>
        <v>0</v>
      </c>
      <c r="D106" s="20">
        <f>MEDIAN(D93:D101)</f>
        <v>65.410351016102922</v>
      </c>
      <c r="E106" s="20">
        <f>MEDIAN(E93:E101)</f>
        <v>34.589648983897064</v>
      </c>
    </row>
    <row r="111" spans="1:6" x14ac:dyDescent="0.35">
      <c r="F111" s="145">
        <f>SUM(F5:F101)</f>
        <v>53</v>
      </c>
    </row>
  </sheetData>
  <sortState ref="M41:M51">
    <sortCondition ref="M41"/>
  </sortState>
  <mergeCells count="6">
    <mergeCell ref="A92:E92"/>
    <mergeCell ref="A4:E4"/>
    <mergeCell ref="A20:E20"/>
    <mergeCell ref="A43:E43"/>
    <mergeCell ref="A59:E59"/>
    <mergeCell ref="A77:E77"/>
  </mergeCells>
  <pageMargins left="0.7" right="0.7" top="0.75" bottom="0.75" header="0.3" footer="0.3"/>
  <pageSetup orientation="portrait" horizontalDpi="0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0"/>
  <sheetViews>
    <sheetView workbookViewId="0">
      <selection activeCell="B5" sqref="B5"/>
    </sheetView>
  </sheetViews>
  <sheetFormatPr defaultRowHeight="14.5" x14ac:dyDescent="0.35"/>
  <cols>
    <col min="1" max="1" width="31.54296875" bestFit="1" customWidth="1"/>
    <col min="2" max="2" width="13.90625" customWidth="1"/>
  </cols>
  <sheetData>
    <row r="1" spans="1:2" s="18" customFormat="1" x14ac:dyDescent="0.35">
      <c r="A1" s="18" t="s">
        <v>260</v>
      </c>
    </row>
    <row r="2" spans="1:2" s="18" customFormat="1" x14ac:dyDescent="0.35"/>
    <row r="3" spans="1:2" s="18" customFormat="1" x14ac:dyDescent="0.35"/>
    <row r="4" spans="1:2" ht="72.5" x14ac:dyDescent="0.35">
      <c r="A4" s="52" t="s">
        <v>173</v>
      </c>
      <c r="B4" s="190" t="s">
        <v>262</v>
      </c>
    </row>
    <row r="5" spans="1:2" s="18" customFormat="1" x14ac:dyDescent="0.35">
      <c r="A5" s="86" t="s">
        <v>198</v>
      </c>
      <c r="B5" s="305">
        <v>4.8399999999999999E-2</v>
      </c>
    </row>
    <row r="6" spans="1:2" s="18" customFormat="1" x14ac:dyDescent="0.35">
      <c r="A6" s="52"/>
      <c r="B6" s="190"/>
    </row>
    <row r="7" spans="1:2" x14ac:dyDescent="0.35">
      <c r="A7" s="18" t="s">
        <v>174</v>
      </c>
      <c r="B7" s="66">
        <v>4.7E-2</v>
      </c>
    </row>
    <row r="8" spans="1:2" x14ac:dyDescent="0.35">
      <c r="A8" s="18" t="s">
        <v>175</v>
      </c>
      <c r="B8" s="66">
        <v>4.1399999999999999E-2</v>
      </c>
    </row>
    <row r="9" spans="1:2" x14ac:dyDescent="0.35">
      <c r="A9" s="18" t="s">
        <v>176</v>
      </c>
      <c r="B9" s="66">
        <v>4.9700000000000001E-2</v>
      </c>
    </row>
    <row r="10" spans="1:2" x14ac:dyDescent="0.35">
      <c r="A10" s="18" t="s">
        <v>152</v>
      </c>
      <c r="B10" s="66">
        <v>5.0799999999999998E-2</v>
      </c>
    </row>
    <row r="11" spans="1:2" x14ac:dyDescent="0.35">
      <c r="A11" s="18"/>
      <c r="B11" s="66"/>
    </row>
    <row r="12" spans="1:2" x14ac:dyDescent="0.35">
      <c r="A12" s="18" t="s">
        <v>153</v>
      </c>
      <c r="B12" s="66">
        <v>4.4900000000000002E-2</v>
      </c>
    </row>
    <row r="13" spans="1:2" x14ac:dyDescent="0.35">
      <c r="A13" s="18" t="s">
        <v>154</v>
      </c>
      <c r="B13" s="66">
        <v>4.1200000000000001E-2</v>
      </c>
    </row>
    <row r="14" spans="1:2" x14ac:dyDescent="0.35">
      <c r="A14" s="18" t="s">
        <v>155</v>
      </c>
      <c r="B14" s="66">
        <v>5.1499999999999997E-2</v>
      </c>
    </row>
    <row r="15" spans="1:2" x14ac:dyDescent="0.35">
      <c r="A15" s="18" t="s">
        <v>156</v>
      </c>
      <c r="B15" s="66">
        <v>5.4199999999999998E-2</v>
      </c>
    </row>
    <row r="16" spans="1:2" x14ac:dyDescent="0.35">
      <c r="A16" s="18"/>
      <c r="B16" s="66"/>
    </row>
    <row r="17" spans="1:2" x14ac:dyDescent="0.35">
      <c r="A17" s="18" t="s">
        <v>157</v>
      </c>
      <c r="B17" s="66">
        <v>4.6699999999999998E-2</v>
      </c>
    </row>
    <row r="18" spans="1:2" x14ac:dyDescent="0.35">
      <c r="A18" s="18" t="s">
        <v>158</v>
      </c>
      <c r="B18" s="66">
        <v>4.48E-2</v>
      </c>
    </row>
    <row r="19" spans="1:2" x14ac:dyDescent="0.35">
      <c r="A19" s="18" t="s">
        <v>159</v>
      </c>
      <c r="B19" s="66">
        <v>4.99E-2</v>
      </c>
    </row>
    <row r="20" spans="1:2" x14ac:dyDescent="0.35">
      <c r="A20" s="18" t="s">
        <v>160</v>
      </c>
      <c r="B20" s="66">
        <v>5.1200000000000002E-2</v>
      </c>
    </row>
    <row r="21" spans="1:2" x14ac:dyDescent="0.35">
      <c r="A21" s="18" t="s">
        <v>161</v>
      </c>
      <c r="B21" s="66">
        <v>5.2299999999999999E-2</v>
      </c>
    </row>
    <row r="22" spans="1:2" x14ac:dyDescent="0.35">
      <c r="A22" s="18" t="s">
        <v>162</v>
      </c>
      <c r="B22" s="66">
        <v>5.33E-2</v>
      </c>
    </row>
    <row r="23" spans="1:2" x14ac:dyDescent="0.35">
      <c r="A23" s="18" t="s">
        <v>163</v>
      </c>
      <c r="B23" s="66">
        <v>5.4300000000000001E-2</v>
      </c>
    </row>
    <row r="24" spans="1:2" x14ac:dyDescent="0.35">
      <c r="A24" s="18"/>
      <c r="B24" s="66"/>
    </row>
    <row r="25" spans="1:2" x14ac:dyDescent="0.35">
      <c r="A25" s="18" t="s">
        <v>164</v>
      </c>
      <c r="B25" s="66">
        <v>4.8000000000000001E-2</v>
      </c>
    </row>
    <row r="26" spans="1:2" x14ac:dyDescent="0.35">
      <c r="A26" s="18" t="s">
        <v>165</v>
      </c>
      <c r="B26" s="66">
        <v>4.7500000000000001E-2</v>
      </c>
    </row>
    <row r="27" spans="1:2" x14ac:dyDescent="0.35">
      <c r="A27" s="18" t="s">
        <v>166</v>
      </c>
      <c r="B27" s="66">
        <v>4.8800000000000003E-2</v>
      </c>
    </row>
    <row r="28" spans="1:2" x14ac:dyDescent="0.35">
      <c r="A28" s="18" t="s">
        <v>167</v>
      </c>
      <c r="B28" s="66">
        <v>4.9099999999999998E-2</v>
      </c>
    </row>
    <row r="29" spans="1:2" x14ac:dyDescent="0.35">
      <c r="A29" s="18" t="s">
        <v>168</v>
      </c>
      <c r="B29" s="66">
        <v>4.9299999999999997E-2</v>
      </c>
    </row>
    <row r="30" spans="1:2" x14ac:dyDescent="0.35">
      <c r="A30" s="18" t="s">
        <v>169</v>
      </c>
      <c r="B30" s="66">
        <v>4.9599999999999998E-2</v>
      </c>
    </row>
    <row r="31" spans="1:2" x14ac:dyDescent="0.35">
      <c r="A31" s="18" t="s">
        <v>170</v>
      </c>
      <c r="B31" s="66">
        <v>4.9799999999999997E-2</v>
      </c>
    </row>
    <row r="32" spans="1:2" x14ac:dyDescent="0.35">
      <c r="A32" s="18"/>
      <c r="B32" s="66"/>
    </row>
    <row r="33" spans="1:2" x14ac:dyDescent="0.35">
      <c r="A33" s="18" t="s">
        <v>171</v>
      </c>
      <c r="B33" s="66">
        <v>4.3700000000000003E-2</v>
      </c>
    </row>
    <row r="34" spans="1:2" x14ac:dyDescent="0.35">
      <c r="A34" s="18" t="s">
        <v>172</v>
      </c>
      <c r="B34" s="66">
        <v>5.5300000000000002E-2</v>
      </c>
    </row>
    <row r="36" spans="1:2" x14ac:dyDescent="0.35">
      <c r="A36" t="s">
        <v>192</v>
      </c>
      <c r="B36" s="66">
        <v>4.1300000000000003E-2</v>
      </c>
    </row>
    <row r="37" spans="1:2" x14ac:dyDescent="0.35">
      <c r="A37" t="s">
        <v>193</v>
      </c>
      <c r="B37" s="66">
        <v>3.2599999999999997E-2</v>
      </c>
    </row>
    <row r="38" spans="1:2" x14ac:dyDescent="0.35">
      <c r="A38" s="18" t="s">
        <v>194</v>
      </c>
      <c r="B38" s="66">
        <v>5.45E-2</v>
      </c>
    </row>
    <row r="39" spans="1:2" x14ac:dyDescent="0.35">
      <c r="A39" s="18" t="s">
        <v>195</v>
      </c>
      <c r="B39">
        <v>5.9900000000000002E-2</v>
      </c>
    </row>
    <row r="40" spans="1:2" x14ac:dyDescent="0.35">
      <c r="A40" s="18" t="s">
        <v>196</v>
      </c>
      <c r="B40">
        <v>7.3599999999999999E-2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2"/>
  <sheetViews>
    <sheetView workbookViewId="0">
      <selection activeCell="A15" sqref="A15"/>
    </sheetView>
  </sheetViews>
  <sheetFormatPr defaultRowHeight="14.5" x14ac:dyDescent="0.35"/>
  <cols>
    <col min="1" max="1" width="52.08984375" bestFit="1" customWidth="1"/>
    <col min="2" max="2" width="10.1796875" style="66" customWidth="1"/>
  </cols>
  <sheetData>
    <row r="1" spans="1:2" s="18" customFormat="1" x14ac:dyDescent="0.35">
      <c r="A1" s="18" t="s">
        <v>261</v>
      </c>
    </row>
    <row r="2" spans="1:2" s="18" customFormat="1" x14ac:dyDescent="0.35"/>
    <row r="3" spans="1:2" s="18" customFormat="1" x14ac:dyDescent="0.35"/>
    <row r="4" spans="1:2" s="52" customFormat="1" ht="43.5" x14ac:dyDescent="0.35">
      <c r="A4" s="52" t="s">
        <v>173</v>
      </c>
      <c r="B4" s="190" t="s">
        <v>197</v>
      </c>
    </row>
    <row r="6" spans="1:2" s="65" customFormat="1" x14ac:dyDescent="0.35">
      <c r="A6" s="65" t="s">
        <v>199</v>
      </c>
      <c r="B6" s="314">
        <v>4.5289999999999997E-2</v>
      </c>
    </row>
    <row r="7" spans="1:2" x14ac:dyDescent="0.35">
      <c r="A7" s="18" t="s">
        <v>200</v>
      </c>
      <c r="B7" s="66">
        <v>4.4769999999999997E-2</v>
      </c>
    </row>
    <row r="8" spans="1:2" x14ac:dyDescent="0.35">
      <c r="A8" s="18" t="s">
        <v>201</v>
      </c>
      <c r="B8" s="66">
        <v>4.4350000000000001E-2</v>
      </c>
    </row>
    <row r="9" spans="1:2" x14ac:dyDescent="0.35">
      <c r="A9" s="18" t="s">
        <v>202</v>
      </c>
      <c r="B9" s="66">
        <v>4.5740000000000003E-2</v>
      </c>
    </row>
    <row r="10" spans="1:2" x14ac:dyDescent="0.35">
      <c r="A10" s="18" t="s">
        <v>203</v>
      </c>
      <c r="B10" s="66">
        <v>4.6019999999999998E-2</v>
      </c>
    </row>
    <row r="11" spans="1:2" x14ac:dyDescent="0.35">
      <c r="A11" s="18" t="s">
        <v>204</v>
      </c>
      <c r="B11" s="66">
        <v>4.7690000000000003E-2</v>
      </c>
    </row>
    <row r="12" spans="1:2" x14ac:dyDescent="0.35">
      <c r="A12" s="18" t="s">
        <v>205</v>
      </c>
      <c r="B12" s="66">
        <v>4.8250000000000001E-2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Table_Sd</vt:lpstr>
      <vt:lpstr>Table_Si</vt:lpstr>
      <vt:lpstr>Table_SRE</vt:lpstr>
      <vt:lpstr>Si</vt:lpstr>
      <vt:lpstr>Sd</vt:lpstr>
      <vt:lpstr>Sediment Samples</vt:lpstr>
      <vt:lpstr>Si, Sensitivity</vt:lpstr>
      <vt:lpstr>Sd, Sensitivity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cre</dc:creator>
  <cp:lastModifiedBy>Chris</cp:lastModifiedBy>
  <dcterms:created xsi:type="dcterms:W3CDTF">2015-01-09T23:02:01Z</dcterms:created>
  <dcterms:modified xsi:type="dcterms:W3CDTF">2017-01-22T05:25:48Z</dcterms:modified>
</cp:coreProperties>
</file>